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t2021\Dropbox\PC\Downloads\healthONE_-_BAM\"/>
    </mc:Choice>
  </mc:AlternateContent>
  <xr:revisionPtr revIDLastSave="0" documentId="13_ncr:1_{CD9815DC-B444-465E-89C8-632144D2A6AD}" xr6:coauthVersionLast="47" xr6:coauthVersionMax="47" xr10:uidLastSave="{00000000-0000-0000-0000-000000000000}"/>
  <workbookProtection workbookAlgorithmName="SHA-512" workbookHashValue="K7rn86FyXwY/pe5dnUdgkqRFZyj01/OYjcZwOj1RpF3k63H7Dx/R5kvxAm4PZTMDktsC9S4tZ+vVr7RGg8ArYA==" workbookSaltValue="jDvy+SEFidWB5+yOqzjbag==" workbookSpinCount="100000" lockStructure="1"/>
  <bookViews>
    <workbookView showSheetTabs="0" xWindow="28680" yWindow="-120" windowWidth="29040" windowHeight="15840" xr2:uid="{00000000-000D-0000-FFFF-FFFF00000000}"/>
  </bookViews>
  <sheets>
    <sheet name="Ingreso de Datos" sheetId="5" r:id="rId1"/>
    <sheet name="Cotización" sheetId="6" r:id="rId2"/>
    <sheet name="Comparativo" sheetId="7" r:id="rId3"/>
    <sheet name="TARIFAS" sheetId="4" state="hidden" r:id="rId4"/>
    <sheet name="CALCULOS" sheetId="10" state="hidden" r:id="rId5"/>
    <sheet name="calculos 2" sheetId="11" state="hidden" r:id="rId6"/>
    <sheet name="Plan 1 y 2" sheetId="8" state="hidden" r:id="rId7"/>
  </sheets>
  <externalReferences>
    <externalReference r:id="rId8"/>
  </externalReferences>
  <definedNames>
    <definedName name="_xlnm.Print_Area" localSheetId="2">Comparativo!$A$1:$I$89</definedName>
    <definedName name="_xlnm.Print_Area" localSheetId="1">Cotización!$A$1:$J$118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5" l="1"/>
  <c r="H5" i="7"/>
  <c r="B8" i="6" l="1"/>
  <c r="B6" i="7" l="1"/>
  <c r="K11" i="5" l="1"/>
  <c r="I11" i="5"/>
  <c r="D12" i="11"/>
  <c r="E12" i="11"/>
  <c r="F12" i="11"/>
  <c r="G12" i="11"/>
  <c r="C12" i="11"/>
  <c r="C26" i="11"/>
  <c r="D26" i="11"/>
  <c r="E26" i="11"/>
  <c r="F26" i="11"/>
  <c r="G26" i="11"/>
  <c r="G11" i="7"/>
  <c r="E11" i="7"/>
  <c r="F15" i="5"/>
  <c r="G15" i="5" s="1"/>
  <c r="H15" i="5" s="1"/>
  <c r="Z20" i="4"/>
  <c r="Z21" i="4"/>
  <c r="Z22" i="4"/>
  <c r="Z23" i="4"/>
  <c r="X20" i="4"/>
  <c r="X21" i="4"/>
  <c r="X22" i="4"/>
  <c r="X23" i="4"/>
  <c r="V20" i="4"/>
  <c r="V21" i="4"/>
  <c r="V22" i="4"/>
  <c r="V23" i="4"/>
  <c r="T20" i="4"/>
  <c r="T21" i="4"/>
  <c r="T22" i="4"/>
  <c r="T23" i="4"/>
  <c r="R20" i="4"/>
  <c r="R21" i="4"/>
  <c r="R22" i="4"/>
  <c r="R23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6" i="4"/>
  <c r="X19" i="4"/>
  <c r="X7" i="4"/>
  <c r="X8" i="4"/>
  <c r="X9" i="4"/>
  <c r="X10" i="4"/>
  <c r="X11" i="4"/>
  <c r="X12" i="4"/>
  <c r="X13" i="4"/>
  <c r="X14" i="4"/>
  <c r="X15" i="4"/>
  <c r="X16" i="4"/>
  <c r="X17" i="4"/>
  <c r="X18" i="4"/>
  <c r="X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6" i="4"/>
  <c r="E13" i="5" l="1"/>
  <c r="F13" i="5" s="1"/>
  <c r="E11" i="5"/>
  <c r="AE19" i="4"/>
  <c r="W20" i="11" s="1"/>
  <c r="AG19" i="4"/>
  <c r="Y20" i="11" s="1"/>
  <c r="AI19" i="4"/>
  <c r="AA20" i="11" s="1"/>
  <c r="AK19" i="4"/>
  <c r="AC20" i="11" s="1"/>
  <c r="AE21" i="4"/>
  <c r="W22" i="11" s="1"/>
  <c r="D27" i="11" s="1"/>
  <c r="H51" i="11" s="1"/>
  <c r="I51" i="11" s="1"/>
  <c r="AG21" i="4"/>
  <c r="Y22" i="11" s="1"/>
  <c r="E27" i="11" s="1"/>
  <c r="H52" i="11" s="1"/>
  <c r="I52" i="11" s="1"/>
  <c r="AI21" i="4"/>
  <c r="AA22" i="11" s="1"/>
  <c r="F27" i="11" s="1"/>
  <c r="H53" i="11" s="1"/>
  <c r="I53" i="11" s="1"/>
  <c r="AK21" i="4"/>
  <c r="AC22" i="11" s="1"/>
  <c r="G27" i="11" s="1"/>
  <c r="AE22" i="4"/>
  <c r="W23" i="11" s="1"/>
  <c r="AG22" i="4"/>
  <c r="Y23" i="11" s="1"/>
  <c r="AI22" i="4"/>
  <c r="AA23" i="11" s="1"/>
  <c r="AK22" i="4"/>
  <c r="AC23" i="11" s="1"/>
  <c r="AE23" i="4"/>
  <c r="W24" i="11" s="1"/>
  <c r="AG23" i="4"/>
  <c r="Y24" i="11" s="1"/>
  <c r="AI23" i="4"/>
  <c r="AA24" i="11" s="1"/>
  <c r="AK23" i="4"/>
  <c r="AC24" i="11" s="1"/>
  <c r="AC21" i="4"/>
  <c r="U22" i="11" s="1"/>
  <c r="C27" i="11" s="1"/>
  <c r="H50" i="11" s="1"/>
  <c r="I50" i="11" s="1"/>
  <c r="AC22" i="4"/>
  <c r="U23" i="11" s="1"/>
  <c r="AC23" i="4"/>
  <c r="U24" i="11" s="1"/>
  <c r="U21" i="4"/>
  <c r="M22" i="11" s="1"/>
  <c r="D13" i="11" s="1"/>
  <c r="D51" i="11" s="1"/>
  <c r="E51" i="11" s="1"/>
  <c r="W21" i="4"/>
  <c r="O22" i="11" s="1"/>
  <c r="E13" i="11" s="1"/>
  <c r="D52" i="11" s="1"/>
  <c r="E52" i="11" s="1"/>
  <c r="Y21" i="4"/>
  <c r="Q22" i="11" s="1"/>
  <c r="F13" i="11" s="1"/>
  <c r="D53" i="11" s="1"/>
  <c r="E53" i="11" s="1"/>
  <c r="AA21" i="4"/>
  <c r="S22" i="11" s="1"/>
  <c r="G13" i="11" s="1"/>
  <c r="D54" i="11" s="1"/>
  <c r="E54" i="11" s="1"/>
  <c r="U22" i="4"/>
  <c r="M23" i="11" s="1"/>
  <c r="W22" i="4"/>
  <c r="O23" i="11" s="1"/>
  <c r="Y22" i="4"/>
  <c r="Q23" i="11" s="1"/>
  <c r="AA22" i="4"/>
  <c r="S23" i="11" s="1"/>
  <c r="U23" i="4"/>
  <c r="M24" i="11" s="1"/>
  <c r="W23" i="4"/>
  <c r="O24" i="11" s="1"/>
  <c r="Y23" i="4"/>
  <c r="Q24" i="11" s="1"/>
  <c r="AA23" i="4"/>
  <c r="S24" i="11" s="1"/>
  <c r="S21" i="4"/>
  <c r="K22" i="11" s="1"/>
  <c r="C13" i="11" s="1"/>
  <c r="D50" i="11" s="1"/>
  <c r="E50" i="11" s="1"/>
  <c r="S22" i="4"/>
  <c r="K23" i="11" s="1"/>
  <c r="S23" i="4"/>
  <c r="K24" i="11" s="1"/>
  <c r="AE6" i="4"/>
  <c r="W7" i="11" s="1"/>
  <c r="AG6" i="4"/>
  <c r="Y7" i="11" s="1"/>
  <c r="AI6" i="4"/>
  <c r="AA7" i="11" s="1"/>
  <c r="AK6" i="4"/>
  <c r="AC7" i="11" s="1"/>
  <c r="AE7" i="4"/>
  <c r="W8" i="11" s="1"/>
  <c r="AG7" i="4"/>
  <c r="Y8" i="11" s="1"/>
  <c r="AI7" i="4"/>
  <c r="AA8" i="11" s="1"/>
  <c r="AK7" i="4"/>
  <c r="AC8" i="11" s="1"/>
  <c r="AE8" i="4"/>
  <c r="W9" i="11" s="1"/>
  <c r="AG8" i="4"/>
  <c r="Y9" i="11" s="1"/>
  <c r="AI8" i="4"/>
  <c r="AA9" i="11" s="1"/>
  <c r="AK8" i="4"/>
  <c r="AC9" i="11" s="1"/>
  <c r="AE9" i="4"/>
  <c r="W10" i="11" s="1"/>
  <c r="AG9" i="4"/>
  <c r="Y10" i="11" s="1"/>
  <c r="AI9" i="4"/>
  <c r="AA10" i="11" s="1"/>
  <c r="AK9" i="4"/>
  <c r="AC10" i="11" s="1"/>
  <c r="AE10" i="4"/>
  <c r="W11" i="11" s="1"/>
  <c r="AG10" i="4"/>
  <c r="Y11" i="11" s="1"/>
  <c r="AI10" i="4"/>
  <c r="AA11" i="11" s="1"/>
  <c r="AK10" i="4"/>
  <c r="AC11" i="11" s="1"/>
  <c r="AE11" i="4"/>
  <c r="W12" i="11" s="1"/>
  <c r="AG11" i="4"/>
  <c r="Y12" i="11" s="1"/>
  <c r="AI11" i="4"/>
  <c r="AA12" i="11" s="1"/>
  <c r="AK11" i="4"/>
  <c r="AC12" i="11" s="1"/>
  <c r="AE12" i="4"/>
  <c r="W13" i="11" s="1"/>
  <c r="AG12" i="4"/>
  <c r="Y13" i="11" s="1"/>
  <c r="AI12" i="4"/>
  <c r="AA13" i="11" s="1"/>
  <c r="AK12" i="4"/>
  <c r="AC13" i="11" s="1"/>
  <c r="AE13" i="4"/>
  <c r="W14" i="11" s="1"/>
  <c r="AG13" i="4"/>
  <c r="Y14" i="11" s="1"/>
  <c r="AI13" i="4"/>
  <c r="AA14" i="11" s="1"/>
  <c r="AK13" i="4"/>
  <c r="AC14" i="11" s="1"/>
  <c r="AE14" i="4"/>
  <c r="W15" i="11" s="1"/>
  <c r="AG14" i="4"/>
  <c r="Y15" i="11" s="1"/>
  <c r="AI14" i="4"/>
  <c r="AA15" i="11" s="1"/>
  <c r="AK14" i="4"/>
  <c r="AC15" i="11" s="1"/>
  <c r="AE15" i="4"/>
  <c r="W16" i="11" s="1"/>
  <c r="AG15" i="4"/>
  <c r="Y16" i="11" s="1"/>
  <c r="AI15" i="4"/>
  <c r="AA16" i="11" s="1"/>
  <c r="AK15" i="4"/>
  <c r="AC16" i="11" s="1"/>
  <c r="AE16" i="4"/>
  <c r="W17" i="11" s="1"/>
  <c r="AG16" i="4"/>
  <c r="Y17" i="11" s="1"/>
  <c r="AI16" i="4"/>
  <c r="AA17" i="11" s="1"/>
  <c r="AK16" i="4"/>
  <c r="AC17" i="11" s="1"/>
  <c r="AE17" i="4"/>
  <c r="W18" i="11" s="1"/>
  <c r="AG17" i="4"/>
  <c r="Y18" i="11" s="1"/>
  <c r="AI17" i="4"/>
  <c r="AA18" i="11" s="1"/>
  <c r="AK17" i="4"/>
  <c r="AC18" i="11" s="1"/>
  <c r="AE18" i="4"/>
  <c r="W19" i="11" s="1"/>
  <c r="AG18" i="4"/>
  <c r="Y19" i="11" s="1"/>
  <c r="AI18" i="4"/>
  <c r="AA19" i="11" s="1"/>
  <c r="AK18" i="4"/>
  <c r="AC19" i="11" s="1"/>
  <c r="AC7" i="4"/>
  <c r="U8" i="11" s="1"/>
  <c r="AC8" i="4"/>
  <c r="U9" i="11" s="1"/>
  <c r="AC9" i="4"/>
  <c r="U10" i="11" s="1"/>
  <c r="AC10" i="4"/>
  <c r="U11" i="11" s="1"/>
  <c r="AC11" i="4"/>
  <c r="U12" i="11" s="1"/>
  <c r="AC12" i="4"/>
  <c r="U13" i="11" s="1"/>
  <c r="AC13" i="4"/>
  <c r="U14" i="11" s="1"/>
  <c r="AC14" i="4"/>
  <c r="U15" i="11" s="1"/>
  <c r="AC15" i="4"/>
  <c r="U16" i="11" s="1"/>
  <c r="AC16" i="4"/>
  <c r="U17" i="11" s="1"/>
  <c r="AC17" i="4"/>
  <c r="U18" i="11" s="1"/>
  <c r="AC18" i="4"/>
  <c r="U19" i="11" s="1"/>
  <c r="AC19" i="4"/>
  <c r="U20" i="11" s="1"/>
  <c r="AC6" i="4"/>
  <c r="U7" i="11" s="1"/>
  <c r="U6" i="4"/>
  <c r="M7" i="11" s="1"/>
  <c r="W6" i="4"/>
  <c r="O7" i="11" s="1"/>
  <c r="Y6" i="4"/>
  <c r="Q7" i="11" s="1"/>
  <c r="AA6" i="4"/>
  <c r="S7" i="11" s="1"/>
  <c r="U7" i="4"/>
  <c r="M8" i="11" s="1"/>
  <c r="W7" i="4"/>
  <c r="O8" i="11" s="1"/>
  <c r="Y7" i="4"/>
  <c r="Q8" i="11" s="1"/>
  <c r="AA7" i="4"/>
  <c r="S8" i="11" s="1"/>
  <c r="U8" i="4"/>
  <c r="M9" i="11" s="1"/>
  <c r="W8" i="4"/>
  <c r="O9" i="11" s="1"/>
  <c r="Y8" i="4"/>
  <c r="Q9" i="11" s="1"/>
  <c r="AA8" i="4"/>
  <c r="S9" i="11" s="1"/>
  <c r="U9" i="4"/>
  <c r="M10" i="11" s="1"/>
  <c r="W9" i="4"/>
  <c r="O10" i="11" s="1"/>
  <c r="Y9" i="4"/>
  <c r="Q10" i="11" s="1"/>
  <c r="AA9" i="4"/>
  <c r="S10" i="11" s="1"/>
  <c r="U10" i="4"/>
  <c r="M11" i="11" s="1"/>
  <c r="W10" i="4"/>
  <c r="O11" i="11" s="1"/>
  <c r="Y10" i="4"/>
  <c r="Q11" i="11" s="1"/>
  <c r="AA10" i="4"/>
  <c r="S11" i="11" s="1"/>
  <c r="U11" i="4"/>
  <c r="M12" i="11" s="1"/>
  <c r="W11" i="4"/>
  <c r="O12" i="11" s="1"/>
  <c r="Y11" i="4"/>
  <c r="Q12" i="11" s="1"/>
  <c r="AA11" i="4"/>
  <c r="S12" i="11" s="1"/>
  <c r="U12" i="4"/>
  <c r="M13" i="11" s="1"/>
  <c r="W12" i="4"/>
  <c r="O13" i="11" s="1"/>
  <c r="Y12" i="4"/>
  <c r="Q13" i="11" s="1"/>
  <c r="AA12" i="4"/>
  <c r="S13" i="11" s="1"/>
  <c r="U13" i="4"/>
  <c r="M14" i="11" s="1"/>
  <c r="W13" i="4"/>
  <c r="O14" i="11" s="1"/>
  <c r="Y13" i="4"/>
  <c r="Q14" i="11" s="1"/>
  <c r="AA13" i="4"/>
  <c r="S14" i="11" s="1"/>
  <c r="U14" i="4"/>
  <c r="M15" i="11" s="1"/>
  <c r="W14" i="4"/>
  <c r="O15" i="11" s="1"/>
  <c r="Y14" i="4"/>
  <c r="Q15" i="11" s="1"/>
  <c r="AA14" i="4"/>
  <c r="S15" i="11" s="1"/>
  <c r="U15" i="4"/>
  <c r="M16" i="11" s="1"/>
  <c r="W15" i="4"/>
  <c r="O16" i="11" s="1"/>
  <c r="Y15" i="4"/>
  <c r="Q16" i="11" s="1"/>
  <c r="AA15" i="4"/>
  <c r="S16" i="11" s="1"/>
  <c r="U16" i="4"/>
  <c r="M17" i="11" s="1"/>
  <c r="W16" i="4"/>
  <c r="O17" i="11" s="1"/>
  <c r="Y16" i="4"/>
  <c r="Q17" i="11" s="1"/>
  <c r="AA16" i="4"/>
  <c r="S17" i="11" s="1"/>
  <c r="U17" i="4"/>
  <c r="M18" i="11" s="1"/>
  <c r="W17" i="4"/>
  <c r="O18" i="11" s="1"/>
  <c r="Y17" i="4"/>
  <c r="Q18" i="11" s="1"/>
  <c r="AA17" i="4"/>
  <c r="S18" i="11" s="1"/>
  <c r="U18" i="4"/>
  <c r="M19" i="11" s="1"/>
  <c r="W18" i="4"/>
  <c r="O19" i="11" s="1"/>
  <c r="Y18" i="4"/>
  <c r="Q19" i="11" s="1"/>
  <c r="AA18" i="4"/>
  <c r="S19" i="11" s="1"/>
  <c r="U19" i="4"/>
  <c r="M20" i="11" s="1"/>
  <c r="W19" i="4"/>
  <c r="O20" i="11" s="1"/>
  <c r="Y19" i="4"/>
  <c r="Q20" i="11" s="1"/>
  <c r="AA19" i="4"/>
  <c r="S20" i="11" s="1"/>
  <c r="S7" i="4"/>
  <c r="K8" i="11" s="1"/>
  <c r="S8" i="4"/>
  <c r="K9" i="11" s="1"/>
  <c r="S9" i="4"/>
  <c r="K10" i="11" s="1"/>
  <c r="S10" i="4"/>
  <c r="K11" i="11" s="1"/>
  <c r="S11" i="4"/>
  <c r="K12" i="11" s="1"/>
  <c r="S12" i="4"/>
  <c r="K13" i="11" s="1"/>
  <c r="S13" i="4"/>
  <c r="K14" i="11" s="1"/>
  <c r="S14" i="4"/>
  <c r="K15" i="11" s="1"/>
  <c r="S15" i="4"/>
  <c r="K16" i="11" s="1"/>
  <c r="S16" i="4"/>
  <c r="K17" i="11" s="1"/>
  <c r="S17" i="4"/>
  <c r="K18" i="11" s="1"/>
  <c r="S18" i="4"/>
  <c r="K19" i="11" s="1"/>
  <c r="S19" i="4"/>
  <c r="K20" i="11" s="1"/>
  <c r="S6" i="4"/>
  <c r="K7" i="11" s="1"/>
  <c r="C33" i="4"/>
  <c r="D27" i="6" l="1"/>
  <c r="E26" i="6" s="1"/>
  <c r="H54" i="11"/>
  <c r="I54" i="11" s="1"/>
  <c r="H27" i="11"/>
  <c r="G13" i="5"/>
  <c r="H13" i="5" s="1"/>
  <c r="G22" i="11"/>
  <c r="C22" i="11"/>
  <c r="F8" i="11"/>
  <c r="F9" i="11" s="1"/>
  <c r="D8" i="11"/>
  <c r="D9" i="11" s="1"/>
  <c r="D22" i="11"/>
  <c r="C8" i="11"/>
  <c r="C9" i="11" s="1"/>
  <c r="F22" i="11"/>
  <c r="E8" i="11"/>
  <c r="E9" i="11" s="1"/>
  <c r="E22" i="11"/>
  <c r="G8" i="11"/>
  <c r="G9" i="11" s="1"/>
  <c r="F11" i="5"/>
  <c r="G11" i="5" s="1"/>
  <c r="H11" i="5" s="1"/>
  <c r="L11" i="5" s="1"/>
  <c r="G18" i="11"/>
  <c r="C18" i="11"/>
  <c r="C4" i="11"/>
  <c r="C5" i="11" s="1"/>
  <c r="D38" i="11" s="1"/>
  <c r="E38" i="11" s="1"/>
  <c r="D18" i="11"/>
  <c r="F18" i="11"/>
  <c r="G4" i="11"/>
  <c r="G5" i="11" s="1"/>
  <c r="D4" i="11"/>
  <c r="D5" i="11" s="1"/>
  <c r="E18" i="11"/>
  <c r="F4" i="11"/>
  <c r="F5" i="11" s="1"/>
  <c r="E4" i="11"/>
  <c r="E5" i="11" s="1"/>
  <c r="G15" i="11" l="1"/>
  <c r="G17" i="7" s="1"/>
  <c r="C15" i="11"/>
  <c r="C17" i="7" s="1"/>
  <c r="F15" i="11"/>
  <c r="F17" i="7" s="1"/>
  <c r="E15" i="11"/>
  <c r="E17" i="7" s="1"/>
  <c r="D15" i="11"/>
  <c r="D17" i="7" s="1"/>
  <c r="D46" i="11"/>
  <c r="E46" i="11" s="1"/>
  <c r="E23" i="11"/>
  <c r="H46" i="11" s="1"/>
  <c r="I46" i="11" s="1"/>
  <c r="F23" i="11"/>
  <c r="H47" i="11" s="1"/>
  <c r="I47" i="11" s="1"/>
  <c r="G23" i="11"/>
  <c r="C23" i="11"/>
  <c r="H44" i="11" s="1"/>
  <c r="I44" i="11" s="1"/>
  <c r="D23" i="11"/>
  <c r="H45" i="11" s="1"/>
  <c r="I45" i="11" s="1"/>
  <c r="D45" i="11"/>
  <c r="E45" i="11" s="1"/>
  <c r="D47" i="11"/>
  <c r="E47" i="11" s="1"/>
  <c r="D48" i="11"/>
  <c r="E48" i="11" s="1"/>
  <c r="D44" i="11"/>
  <c r="E44" i="11" s="1"/>
  <c r="D19" i="11"/>
  <c r="J11" i="5"/>
  <c r="E19" i="11"/>
  <c r="G19" i="11"/>
  <c r="C19" i="11"/>
  <c r="F19" i="11"/>
  <c r="F29" i="11" l="1"/>
  <c r="F37" i="7" s="1"/>
  <c r="C29" i="11"/>
  <c r="C37" i="7" s="1"/>
  <c r="D29" i="11"/>
  <c r="D37" i="7" s="1"/>
  <c r="G29" i="11"/>
  <c r="H48" i="11"/>
  <c r="I48" i="11" s="1"/>
  <c r="D26" i="6" s="1"/>
  <c r="H23" i="11"/>
  <c r="E29" i="11"/>
  <c r="E37" i="7" s="1"/>
  <c r="H38" i="11"/>
  <c r="I38" i="11" s="1"/>
  <c r="H40" i="11"/>
  <c r="I40" i="11" s="1"/>
  <c r="H41" i="11"/>
  <c r="I41" i="11" s="1"/>
  <c r="H42" i="11"/>
  <c r="I42" i="11" s="1"/>
  <c r="D41" i="11"/>
  <c r="E41" i="11" s="1"/>
  <c r="D42" i="11"/>
  <c r="E42" i="11" s="1"/>
  <c r="H39" i="11"/>
  <c r="I39" i="11" s="1"/>
  <c r="D40" i="11"/>
  <c r="E40" i="11" s="1"/>
  <c r="D39" i="11"/>
  <c r="E39" i="11" s="1"/>
  <c r="C26" i="6" l="1"/>
  <c r="D31" i="11"/>
  <c r="E31" i="11" s="1"/>
  <c r="G37" i="7"/>
  <c r="D35" i="11"/>
  <c r="E35" i="11" s="1"/>
  <c r="G29" i="7"/>
  <c r="G30" i="7" s="1"/>
  <c r="G31" i="7" s="1"/>
  <c r="G32" i="7" s="1"/>
  <c r="F21" i="7"/>
  <c r="D34" i="11"/>
  <c r="E34" i="11" s="1"/>
  <c r="E18" i="7"/>
  <c r="E19" i="7" s="1"/>
  <c r="E20" i="7" s="1"/>
  <c r="D33" i="11"/>
  <c r="E33" i="11" s="1"/>
  <c r="D25" i="7"/>
  <c r="D32" i="11"/>
  <c r="E32" i="11" s="1"/>
  <c r="C25" i="7"/>
  <c r="G13" i="7"/>
  <c r="G18" i="7" l="1"/>
  <c r="G19" i="7" s="1"/>
  <c r="G20" i="7" s="1"/>
  <c r="E21" i="7"/>
  <c r="E22" i="7" s="1"/>
  <c r="E23" i="7" s="1"/>
  <c r="E24" i="7" s="1"/>
  <c r="D18" i="7"/>
  <c r="D19" i="7" s="1"/>
  <c r="D20" i="7" s="1"/>
  <c r="F18" i="7"/>
  <c r="F19" i="7" s="1"/>
  <c r="F29" i="7"/>
  <c r="F30" i="7" s="1"/>
  <c r="F31" i="7" s="1"/>
  <c r="E25" i="7"/>
  <c r="E26" i="7" s="1"/>
  <c r="E27" i="7" s="1"/>
  <c r="C29" i="7"/>
  <c r="C30" i="7" s="1"/>
  <c r="C31" i="7" s="1"/>
  <c r="C32" i="7" s="1"/>
  <c r="E29" i="7"/>
  <c r="E30" i="7" s="1"/>
  <c r="E31" i="7" s="1"/>
  <c r="E32" i="7" s="1"/>
  <c r="D29" i="7"/>
  <c r="D30" i="7" s="1"/>
  <c r="D31" i="7" s="1"/>
  <c r="F25" i="7"/>
  <c r="F26" i="7" s="1"/>
  <c r="F27" i="7" s="1"/>
  <c r="F28" i="7" s="1"/>
  <c r="D21" i="7"/>
  <c r="D22" i="7" s="1"/>
  <c r="D23" i="7" s="1"/>
  <c r="C21" i="7"/>
  <c r="C22" i="7" s="1"/>
  <c r="C23" i="7" s="1"/>
  <c r="C24" i="7" s="1"/>
  <c r="C18" i="7"/>
  <c r="C19" i="7" s="1"/>
  <c r="C20" i="7" s="1"/>
  <c r="G21" i="7"/>
  <c r="G22" i="7" s="1"/>
  <c r="G23" i="7" s="1"/>
  <c r="G24" i="7" s="1"/>
  <c r="G25" i="7"/>
  <c r="G26" i="7" s="1"/>
  <c r="G27" i="7" s="1"/>
  <c r="G28" i="7" s="1"/>
  <c r="C49" i="7"/>
  <c r="C45" i="7"/>
  <c r="D49" i="7"/>
  <c r="D45" i="7"/>
  <c r="G49" i="7"/>
  <c r="G45" i="7"/>
  <c r="F45" i="7"/>
  <c r="F49" i="7"/>
  <c r="E45" i="7"/>
  <c r="E49" i="7"/>
  <c r="D26" i="7"/>
  <c r="D27" i="7" s="1"/>
  <c r="D28" i="7" s="1"/>
  <c r="F33" i="11"/>
  <c r="H33" i="11"/>
  <c r="G33" i="11"/>
  <c r="C26" i="7"/>
  <c r="C27" i="7" s="1"/>
  <c r="C28" i="7" s="1"/>
  <c r="C41" i="7"/>
  <c r="C38" i="7"/>
  <c r="C39" i="7" s="1"/>
  <c r="C40" i="7" s="1"/>
  <c r="E41" i="7"/>
  <c r="E38" i="7"/>
  <c r="E39" i="7" s="1"/>
  <c r="E40" i="7" s="1"/>
  <c r="D20" i="6"/>
  <c r="D23" i="5" s="1"/>
  <c r="G31" i="11"/>
  <c r="F31" i="11"/>
  <c r="H31" i="11"/>
  <c r="G32" i="11"/>
  <c r="F32" i="11"/>
  <c r="H32" i="11"/>
  <c r="F34" i="11"/>
  <c r="H34" i="11"/>
  <c r="G34" i="11"/>
  <c r="G35" i="11"/>
  <c r="F35" i="11"/>
  <c r="H35" i="11"/>
  <c r="F41" i="7"/>
  <c r="F38" i="7"/>
  <c r="F39" i="7" s="1"/>
  <c r="F40" i="7" s="1"/>
  <c r="F22" i="7"/>
  <c r="F23" i="7" s="1"/>
  <c r="F24" i="7" s="1"/>
  <c r="D38" i="7"/>
  <c r="D39" i="7" s="1"/>
  <c r="D40" i="7" s="1"/>
  <c r="D41" i="7"/>
  <c r="G38" i="7"/>
  <c r="G39" i="7" s="1"/>
  <c r="G40" i="7" s="1"/>
  <c r="G41" i="7"/>
  <c r="C11" i="7"/>
  <c r="F20" i="7" l="1"/>
  <c r="F32" i="7"/>
  <c r="D21" i="6"/>
  <c r="D25" i="5" s="1"/>
  <c r="D22" i="6"/>
  <c r="D27" i="5" s="1"/>
  <c r="D23" i="6"/>
  <c r="D29" i="5" s="1"/>
  <c r="E50" i="7"/>
  <c r="E51" i="7" s="1"/>
  <c r="E52" i="7" s="1"/>
  <c r="C50" i="7"/>
  <c r="C51" i="7" s="1"/>
  <c r="G46" i="7"/>
  <c r="G47" i="7" s="1"/>
  <c r="D42" i="7"/>
  <c r="D43" i="7" s="1"/>
  <c r="D44" i="7" s="1"/>
  <c r="E28" i="7"/>
  <c r="F50" i="7"/>
  <c r="F51" i="7" s="1"/>
  <c r="F52" i="7" s="1"/>
  <c r="D32" i="7"/>
  <c r="C46" i="7"/>
  <c r="C47" i="7" s="1"/>
  <c r="G50" i="7"/>
  <c r="G51" i="7" s="1"/>
  <c r="F46" i="7"/>
  <c r="F47" i="7" s="1"/>
  <c r="F48" i="7" s="1"/>
  <c r="E42" i="7"/>
  <c r="E43" i="7" s="1"/>
  <c r="E44" i="7" s="1"/>
  <c r="D46" i="7"/>
  <c r="D47" i="7" s="1"/>
  <c r="D48" i="7" s="1"/>
  <c r="G42" i="7"/>
  <c r="G43" i="7" s="1"/>
  <c r="D50" i="7"/>
  <c r="D51" i="7" s="1"/>
  <c r="D52" i="7" s="1"/>
  <c r="D24" i="7"/>
  <c r="F42" i="7"/>
  <c r="F43" i="7" s="1"/>
  <c r="F44" i="7" s="1"/>
  <c r="E46" i="7"/>
  <c r="E47" i="7" s="1"/>
  <c r="E48" i="7" s="1"/>
  <c r="C42" i="7"/>
  <c r="C43" i="7" s="1"/>
  <c r="U13" i="7"/>
  <c r="B5" i="7"/>
  <c r="B7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8" i="6"/>
  <c r="D71" i="6"/>
  <c r="D59" i="6"/>
  <c r="D60" i="6"/>
  <c r="D61" i="6"/>
  <c r="D62" i="6"/>
  <c r="D63" i="6"/>
  <c r="D64" i="6"/>
  <c r="D65" i="6"/>
  <c r="D66" i="6"/>
  <c r="D67" i="6"/>
  <c r="D68" i="6"/>
  <c r="D69" i="6"/>
  <c r="D70" i="6"/>
  <c r="D58" i="6"/>
  <c r="G48" i="7" l="1"/>
  <c r="G52" i="7"/>
  <c r="G44" i="7"/>
  <c r="C52" i="7"/>
  <c r="C48" i="7"/>
  <c r="C44" i="7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71" i="6"/>
  <c r="B59" i="6"/>
  <c r="B60" i="6"/>
  <c r="B61" i="6"/>
  <c r="B62" i="6"/>
  <c r="B63" i="6"/>
  <c r="B64" i="6"/>
  <c r="B65" i="6"/>
  <c r="B66" i="6"/>
  <c r="B67" i="6"/>
  <c r="B68" i="6"/>
  <c r="B69" i="6"/>
  <c r="B70" i="6"/>
  <c r="B58" i="6"/>
  <c r="D49" i="6"/>
  <c r="D48" i="6"/>
  <c r="D50" i="6"/>
  <c r="D45" i="6"/>
  <c r="D37" i="6"/>
  <c r="D36" i="6"/>
  <c r="D35" i="6"/>
  <c r="D34" i="6"/>
  <c r="B55" i="6"/>
  <c r="B54" i="6"/>
  <c r="B52" i="6"/>
  <c r="B53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38" i="6"/>
  <c r="B37" i="6"/>
  <c r="B36" i="6"/>
  <c r="B35" i="6"/>
  <c r="B34" i="6"/>
  <c r="D31" i="6"/>
  <c r="D32" i="6"/>
  <c r="D33" i="6"/>
  <c r="B29" i="6"/>
  <c r="B30" i="6"/>
  <c r="B31" i="6"/>
  <c r="B32" i="6"/>
  <c r="B33" i="6"/>
  <c r="B28" i="6"/>
  <c r="B11" i="6"/>
  <c r="B5" i="6"/>
  <c r="D30" i="6"/>
  <c r="Q20" i="5"/>
  <c r="Q48" i="5" s="1"/>
  <c r="F61" i="5"/>
  <c r="D87" i="6" s="1"/>
  <c r="Q58" i="5" l="1"/>
  <c r="D52" i="6" s="1"/>
  <c r="Q61" i="5"/>
  <c r="D54" i="6" s="1"/>
  <c r="D42" i="6"/>
  <c r="Q46" i="5"/>
  <c r="D40" i="6" s="1"/>
  <c r="Q50" i="5"/>
  <c r="D44" i="6" s="1"/>
  <c r="Q59" i="5"/>
  <c r="D53" i="6" s="1"/>
  <c r="Q21" i="5"/>
  <c r="D29" i="6" s="1"/>
  <c r="Q47" i="5"/>
  <c r="D41" i="6" s="1"/>
  <c r="Q53" i="5"/>
  <c r="D47" i="6" s="1"/>
  <c r="D28" i="6"/>
  <c r="Q44" i="5"/>
  <c r="D38" i="6" s="1"/>
  <c r="Q57" i="5"/>
  <c r="D51" i="6" s="1"/>
  <c r="Q45" i="5"/>
  <c r="D39" i="6" s="1"/>
  <c r="Q49" i="5"/>
  <c r="D43" i="6" s="1"/>
  <c r="C49" i="4"/>
  <c r="C34" i="4"/>
  <c r="C27" i="4"/>
  <c r="G6" i="11" l="1"/>
  <c r="D6" i="11"/>
  <c r="C6" i="11"/>
  <c r="E6" i="11"/>
  <c r="F6" i="11"/>
  <c r="J27" i="4"/>
  <c r="D20" i="11" l="1"/>
  <c r="C20" i="11"/>
  <c r="E20" i="11"/>
  <c r="F20" i="11"/>
  <c r="G20" i="11"/>
  <c r="H20" i="11" s="1"/>
  <c r="H28" i="11" s="1"/>
  <c r="C37" i="4"/>
  <c r="L70" i="4"/>
  <c r="K70" i="4"/>
  <c r="J70" i="4"/>
  <c r="C38" i="4"/>
  <c r="L69" i="4"/>
  <c r="K69" i="4"/>
  <c r="J69" i="4"/>
  <c r="J74" i="4" s="1"/>
  <c r="K74" i="4" l="1"/>
  <c r="L74" i="4"/>
  <c r="E84" i="4"/>
  <c r="D85" i="4"/>
  <c r="G93" i="4"/>
  <c r="F93" i="4"/>
  <c r="E93" i="4"/>
  <c r="D93" i="4"/>
  <c r="C93" i="4"/>
  <c r="G92" i="4"/>
  <c r="F92" i="4"/>
  <c r="E92" i="4"/>
  <c r="D92" i="4"/>
  <c r="C92" i="4"/>
  <c r="G91" i="4"/>
  <c r="F91" i="4"/>
  <c r="E91" i="4"/>
  <c r="D91" i="4"/>
  <c r="C91" i="4"/>
  <c r="G90" i="4"/>
  <c r="F90" i="4"/>
  <c r="E90" i="4"/>
  <c r="D90" i="4"/>
  <c r="C90" i="4"/>
  <c r="G89" i="4"/>
  <c r="F89" i="4"/>
  <c r="E89" i="4"/>
  <c r="D89" i="4"/>
  <c r="C89" i="4"/>
  <c r="G88" i="4"/>
  <c r="F88" i="4"/>
  <c r="E88" i="4"/>
  <c r="D88" i="4"/>
  <c r="C88" i="4"/>
  <c r="G87" i="4"/>
  <c r="F87" i="4"/>
  <c r="E87" i="4"/>
  <c r="D87" i="4"/>
  <c r="C87" i="4"/>
  <c r="G46" i="4"/>
  <c r="F46" i="4"/>
  <c r="E46" i="4"/>
  <c r="D46" i="4"/>
  <c r="C46" i="4"/>
  <c r="G45" i="4"/>
  <c r="F45" i="4"/>
  <c r="E45" i="4"/>
  <c r="D45" i="4"/>
  <c r="C45" i="4"/>
  <c r="G44" i="4"/>
  <c r="F44" i="4"/>
  <c r="E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86" i="4"/>
  <c r="F86" i="4"/>
  <c r="E86" i="4"/>
  <c r="D86" i="4"/>
  <c r="C86" i="4"/>
  <c r="G85" i="4"/>
  <c r="F85" i="4"/>
  <c r="E85" i="4"/>
  <c r="C85" i="4"/>
  <c r="G84" i="4"/>
  <c r="F84" i="4"/>
  <c r="C84" i="4"/>
  <c r="G83" i="4"/>
  <c r="F83" i="4"/>
  <c r="C83" i="4"/>
  <c r="G82" i="4"/>
  <c r="F82" i="4"/>
  <c r="E82" i="4"/>
  <c r="D82" i="4"/>
  <c r="C82" i="4"/>
  <c r="J72" i="4" l="1"/>
  <c r="E83" i="4"/>
  <c r="D84" i="4"/>
  <c r="D83" i="4"/>
  <c r="F62" i="4" l="1"/>
  <c r="G61" i="4"/>
  <c r="G107" i="4" s="1"/>
  <c r="C61" i="4"/>
  <c r="C107" i="4" s="1"/>
  <c r="D60" i="4"/>
  <c r="D106" i="4" s="1"/>
  <c r="E59" i="4"/>
  <c r="E105" i="4" s="1"/>
  <c r="F58" i="4"/>
  <c r="F104" i="4" s="1"/>
  <c r="G57" i="4"/>
  <c r="G103" i="4" s="1"/>
  <c r="C57" i="4"/>
  <c r="C103" i="4" s="1"/>
  <c r="D56" i="4"/>
  <c r="D102" i="4" s="1"/>
  <c r="E55" i="4"/>
  <c r="E101" i="4" s="1"/>
  <c r="G62" i="4"/>
  <c r="E62" i="4"/>
  <c r="D62" i="4"/>
  <c r="C62" i="4"/>
  <c r="F61" i="4"/>
  <c r="F107" i="4" s="1"/>
  <c r="E61" i="4"/>
  <c r="E107" i="4" s="1"/>
  <c r="D61" i="4"/>
  <c r="D107" i="4" s="1"/>
  <c r="G60" i="4"/>
  <c r="G106" i="4" s="1"/>
  <c r="F60" i="4"/>
  <c r="F106" i="4" s="1"/>
  <c r="E60" i="4"/>
  <c r="E106" i="4" s="1"/>
  <c r="C60" i="4"/>
  <c r="C106" i="4" s="1"/>
  <c r="G59" i="4"/>
  <c r="G105" i="4" s="1"/>
  <c r="F59" i="4"/>
  <c r="F105" i="4" s="1"/>
  <c r="D59" i="4"/>
  <c r="D105" i="4" s="1"/>
  <c r="C59" i="4"/>
  <c r="C105" i="4" s="1"/>
  <c r="G58" i="4"/>
  <c r="G104" i="4" s="1"/>
  <c r="E58" i="4"/>
  <c r="E104" i="4" s="1"/>
  <c r="D58" i="4"/>
  <c r="D104" i="4" s="1"/>
  <c r="C58" i="4"/>
  <c r="C104" i="4" s="1"/>
  <c r="F57" i="4"/>
  <c r="F103" i="4" s="1"/>
  <c r="E57" i="4"/>
  <c r="E103" i="4" s="1"/>
  <c r="D57" i="4"/>
  <c r="D103" i="4" s="1"/>
  <c r="G56" i="4"/>
  <c r="G102" i="4" s="1"/>
  <c r="F56" i="4"/>
  <c r="F102" i="4" s="1"/>
  <c r="E56" i="4"/>
  <c r="E102" i="4" s="1"/>
  <c r="C56" i="4"/>
  <c r="C102" i="4" s="1"/>
  <c r="G55" i="4"/>
  <c r="G101" i="4" s="1"/>
  <c r="F55" i="4"/>
  <c r="F101" i="4" s="1"/>
  <c r="D55" i="4"/>
  <c r="D101" i="4" s="1"/>
  <c r="C55" i="4"/>
  <c r="C101" i="4" s="1"/>
  <c r="G38" i="4"/>
  <c r="G54" i="4" s="1"/>
  <c r="G100" i="4" s="1"/>
  <c r="F38" i="4"/>
  <c r="F54" i="4" s="1"/>
  <c r="F100" i="4" s="1"/>
  <c r="E38" i="4"/>
  <c r="E54" i="4" s="1"/>
  <c r="E100" i="4" s="1"/>
  <c r="D38" i="4"/>
  <c r="D54" i="4" s="1"/>
  <c r="D100" i="4" s="1"/>
  <c r="C54" i="4"/>
  <c r="C100" i="4" s="1"/>
  <c r="G37" i="4"/>
  <c r="F37" i="4"/>
  <c r="F53" i="4" s="1"/>
  <c r="F99" i="4" s="1"/>
  <c r="E37" i="4"/>
  <c r="D37" i="4"/>
  <c r="D53" i="4" s="1"/>
  <c r="D99" i="4" s="1"/>
  <c r="C53" i="4"/>
  <c r="C99" i="4" s="1"/>
  <c r="G36" i="4"/>
  <c r="G52" i="4" s="1"/>
  <c r="G98" i="4" s="1"/>
  <c r="F36" i="4"/>
  <c r="F52" i="4" s="1"/>
  <c r="F98" i="4" s="1"/>
  <c r="E36" i="4"/>
  <c r="E52" i="4" s="1"/>
  <c r="E98" i="4" s="1"/>
  <c r="D36" i="4"/>
  <c r="D52" i="4" s="1"/>
  <c r="D98" i="4" s="1"/>
  <c r="C36" i="4"/>
  <c r="G35" i="4"/>
  <c r="G51" i="4" s="1"/>
  <c r="G97" i="4" s="1"/>
  <c r="F35" i="4"/>
  <c r="F51" i="4" s="1"/>
  <c r="F97" i="4" s="1"/>
  <c r="E35" i="4"/>
  <c r="E51" i="4" s="1"/>
  <c r="E97" i="4" s="1"/>
  <c r="D35" i="4"/>
  <c r="D51" i="4" s="1"/>
  <c r="D97" i="4" s="1"/>
  <c r="C35" i="4"/>
  <c r="C51" i="4" s="1"/>
  <c r="C97" i="4" s="1"/>
  <c r="G34" i="4"/>
  <c r="G50" i="4" s="1"/>
  <c r="G96" i="4" s="1"/>
  <c r="F34" i="4"/>
  <c r="F50" i="4" s="1"/>
  <c r="F96" i="4" s="1"/>
  <c r="E34" i="4"/>
  <c r="E50" i="4" s="1"/>
  <c r="E96" i="4" s="1"/>
  <c r="D34" i="4"/>
  <c r="D50" i="4" s="1"/>
  <c r="D96" i="4" s="1"/>
  <c r="C50" i="4"/>
  <c r="C96" i="4" s="1"/>
  <c r="G33" i="4"/>
  <c r="G49" i="4" s="1"/>
  <c r="F33" i="4"/>
  <c r="F49" i="4" s="1"/>
  <c r="E33" i="4"/>
  <c r="E49" i="4" s="1"/>
  <c r="D33" i="4"/>
  <c r="D49" i="4" s="1"/>
  <c r="N46" i="4"/>
  <c r="N62" i="4" s="1"/>
  <c r="M46" i="4"/>
  <c r="M62" i="4" s="1"/>
  <c r="L46" i="4"/>
  <c r="L62" i="4" s="1"/>
  <c r="K46" i="4"/>
  <c r="K62" i="4" s="1"/>
  <c r="J46" i="4"/>
  <c r="J62" i="4" s="1"/>
  <c r="N45" i="4"/>
  <c r="N61" i="4" s="1"/>
  <c r="M45" i="4"/>
  <c r="M61" i="4" s="1"/>
  <c r="L45" i="4"/>
  <c r="L61" i="4" s="1"/>
  <c r="K45" i="4"/>
  <c r="K61" i="4" s="1"/>
  <c r="J45" i="4"/>
  <c r="J61" i="4" s="1"/>
  <c r="N44" i="4"/>
  <c r="N60" i="4" s="1"/>
  <c r="M44" i="4"/>
  <c r="M60" i="4" s="1"/>
  <c r="L44" i="4"/>
  <c r="L60" i="4" s="1"/>
  <c r="K44" i="4"/>
  <c r="K60" i="4" s="1"/>
  <c r="J44" i="4"/>
  <c r="J60" i="4" s="1"/>
  <c r="N43" i="4"/>
  <c r="N59" i="4" s="1"/>
  <c r="M43" i="4"/>
  <c r="M59" i="4" s="1"/>
  <c r="L43" i="4"/>
  <c r="L59" i="4" s="1"/>
  <c r="K43" i="4"/>
  <c r="K59" i="4" s="1"/>
  <c r="J43" i="4"/>
  <c r="J59" i="4" s="1"/>
  <c r="N42" i="4"/>
  <c r="N58" i="4" s="1"/>
  <c r="M42" i="4"/>
  <c r="M58" i="4" s="1"/>
  <c r="L42" i="4"/>
  <c r="L58" i="4" s="1"/>
  <c r="K42" i="4"/>
  <c r="K58" i="4" s="1"/>
  <c r="J42" i="4"/>
  <c r="J58" i="4" s="1"/>
  <c r="N41" i="4"/>
  <c r="N57" i="4" s="1"/>
  <c r="M41" i="4"/>
  <c r="M57" i="4" s="1"/>
  <c r="L41" i="4"/>
  <c r="L57" i="4" s="1"/>
  <c r="K41" i="4"/>
  <c r="K57" i="4" s="1"/>
  <c r="J41" i="4"/>
  <c r="J57" i="4" s="1"/>
  <c r="N40" i="4"/>
  <c r="N56" i="4" s="1"/>
  <c r="M40" i="4"/>
  <c r="M56" i="4" s="1"/>
  <c r="L40" i="4"/>
  <c r="L56" i="4" s="1"/>
  <c r="K40" i="4"/>
  <c r="K56" i="4" s="1"/>
  <c r="J40" i="4"/>
  <c r="J56" i="4" s="1"/>
  <c r="N39" i="4"/>
  <c r="N55" i="4" s="1"/>
  <c r="M39" i="4"/>
  <c r="M55" i="4" s="1"/>
  <c r="L39" i="4"/>
  <c r="L55" i="4" s="1"/>
  <c r="K39" i="4"/>
  <c r="K55" i="4" s="1"/>
  <c r="J39" i="4"/>
  <c r="J55" i="4" s="1"/>
  <c r="N38" i="4"/>
  <c r="N54" i="4" s="1"/>
  <c r="M38" i="4"/>
  <c r="M54" i="4" s="1"/>
  <c r="L38" i="4"/>
  <c r="L54" i="4" s="1"/>
  <c r="K38" i="4"/>
  <c r="K54" i="4" s="1"/>
  <c r="J38" i="4"/>
  <c r="J54" i="4" s="1"/>
  <c r="N37" i="4"/>
  <c r="N53" i="4" s="1"/>
  <c r="M37" i="4"/>
  <c r="M53" i="4" s="1"/>
  <c r="L37" i="4"/>
  <c r="L53" i="4" s="1"/>
  <c r="K37" i="4"/>
  <c r="K53" i="4" s="1"/>
  <c r="J37" i="4"/>
  <c r="J53" i="4" s="1"/>
  <c r="N36" i="4"/>
  <c r="N52" i="4" s="1"/>
  <c r="M36" i="4"/>
  <c r="M52" i="4" s="1"/>
  <c r="L36" i="4"/>
  <c r="L52" i="4" s="1"/>
  <c r="K36" i="4"/>
  <c r="K52" i="4" s="1"/>
  <c r="J36" i="4"/>
  <c r="J52" i="4" s="1"/>
  <c r="N35" i="4"/>
  <c r="N51" i="4" s="1"/>
  <c r="M35" i="4"/>
  <c r="M51" i="4" s="1"/>
  <c r="L35" i="4"/>
  <c r="L51" i="4" s="1"/>
  <c r="K35" i="4"/>
  <c r="K51" i="4" s="1"/>
  <c r="J35" i="4"/>
  <c r="J51" i="4" s="1"/>
  <c r="N34" i="4"/>
  <c r="N50" i="4" s="1"/>
  <c r="M34" i="4"/>
  <c r="M50" i="4" s="1"/>
  <c r="L34" i="4"/>
  <c r="L50" i="4" s="1"/>
  <c r="K34" i="4"/>
  <c r="K50" i="4" s="1"/>
  <c r="J34" i="4"/>
  <c r="J50" i="4" s="1"/>
  <c r="N33" i="4"/>
  <c r="N49" i="4" s="1"/>
  <c r="M33" i="4"/>
  <c r="M49" i="4" s="1"/>
  <c r="L33" i="4"/>
  <c r="L49" i="4" s="1"/>
  <c r="K33" i="4"/>
  <c r="K49" i="4" s="1"/>
  <c r="J33" i="4"/>
  <c r="J49" i="4" s="1"/>
  <c r="C52" i="4" l="1"/>
  <c r="C98" i="4" s="1"/>
  <c r="J71" i="4"/>
  <c r="J73" i="4" s="1"/>
  <c r="G53" i="4"/>
  <c r="G99" i="4" s="1"/>
  <c r="L71" i="4"/>
  <c r="L73" i="4" s="1"/>
  <c r="E53" i="4"/>
  <c r="E99" i="4" s="1"/>
  <c r="K71" i="4"/>
  <c r="K73" i="4" s="1"/>
</calcChain>
</file>

<file path=xl/sharedStrings.xml><?xml version="1.0" encoding="utf-8"?>
<sst xmlns="http://schemas.openxmlformats.org/spreadsheetml/2006/main" count="898" uniqueCount="348">
  <si>
    <t>Semestral</t>
  </si>
  <si>
    <t>REF.</t>
  </si>
  <si>
    <t xml:space="preserve">EDAD </t>
  </si>
  <si>
    <t>1 Hijo</t>
  </si>
  <si>
    <t>Trimestral</t>
  </si>
  <si>
    <t>2 Hijos</t>
  </si>
  <si>
    <t>Mensual</t>
  </si>
  <si>
    <t>20 - 24</t>
  </si>
  <si>
    <t>3 o Más Hijos</t>
  </si>
  <si>
    <t>25 - 29</t>
  </si>
  <si>
    <t>30 - 34</t>
  </si>
  <si>
    <t>35 - 39</t>
  </si>
  <si>
    <t>40 - 44</t>
  </si>
  <si>
    <t>45 - 49</t>
  </si>
  <si>
    <t>50 - 54</t>
  </si>
  <si>
    <t>55 -59</t>
  </si>
  <si>
    <t>60 - 64</t>
  </si>
  <si>
    <t>65 - 69</t>
  </si>
  <si>
    <t>70 - 74</t>
  </si>
  <si>
    <t>75 - 79</t>
  </si>
  <si>
    <t>80+</t>
  </si>
  <si>
    <t>SI</t>
  </si>
  <si>
    <t>NO</t>
  </si>
  <si>
    <t>I</t>
  </si>
  <si>
    <t>II</t>
  </si>
  <si>
    <t>Maternidad</t>
  </si>
  <si>
    <t>RECARGOS POR FRACCIONAMIENTO</t>
  </si>
  <si>
    <t>COBERTURA OPCIONAL</t>
  </si>
  <si>
    <t>TARIFAS ANUALES CON DERECHOS DE EMISIÓN E IVA</t>
  </si>
  <si>
    <t>PLAN I</t>
  </si>
  <si>
    <t>PLAN II</t>
  </si>
  <si>
    <t>DED. FUERA DE C.A.</t>
  </si>
  <si>
    <t>DED. DENTRO DE C.A.</t>
  </si>
  <si>
    <t>Seguro Gastos Médicos</t>
  </si>
  <si>
    <t>Centroamérica</t>
  </si>
  <si>
    <t>Mundial</t>
  </si>
  <si>
    <t>De 18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</si>
  <si>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</si>
  <si>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</si>
  <si>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</si>
  <si>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</si>
  <si>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</si>
  <si>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</si>
  <si>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</si>
  <si>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</si>
  <si>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</si>
  <si>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</si>
  <si>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</si>
  <si>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Maternidad al 100% con honorarfios mayores a los de BAMSALUD y BAMSALUD CON REEMBOLSO AL 80% más ajustes</t>
  </si>
  <si>
    <t>BEST DOCTOR GLOBAL CARE</t>
  </si>
  <si>
    <t>BAMSALUD DE Q7 millones MV sin deducible en Red y con 80% reembolso</t>
  </si>
  <si>
    <t>PLAN / DEDUCIBLE</t>
  </si>
  <si>
    <t>Titular 35 AÑOS, Cónyuge Dependiente 30 Años</t>
  </si>
  <si>
    <t>HEALT ONE con Maternidad</t>
  </si>
  <si>
    <t>HEALT ONE sin Maternidad</t>
  </si>
  <si>
    <t xml:space="preserve">Saludo: </t>
  </si>
  <si>
    <t xml:space="preserve">Nombre Asegurado </t>
  </si>
  <si>
    <t xml:space="preserve">Edad Asegurado Titular </t>
  </si>
  <si>
    <t xml:space="preserve">Años </t>
  </si>
  <si>
    <t xml:space="preserve">Edad Cónyugue </t>
  </si>
  <si>
    <t xml:space="preserve">Cantidad de Hijos </t>
  </si>
  <si>
    <t xml:space="preserve">Plan </t>
  </si>
  <si>
    <t xml:space="preserve">Deducible Anual </t>
  </si>
  <si>
    <t>Plan II</t>
  </si>
  <si>
    <t xml:space="preserve">Maternidad </t>
  </si>
  <si>
    <t xml:space="preserve">Prima Total a Pagar </t>
  </si>
  <si>
    <t xml:space="preserve">Anual </t>
  </si>
  <si>
    <t xml:space="preserve">Semestral </t>
  </si>
  <si>
    <t xml:space="preserve">Trimestral </t>
  </si>
  <si>
    <t xml:space="preserve">Mensual </t>
  </si>
  <si>
    <t>BENEFICIO</t>
  </si>
  <si>
    <t>%</t>
  </si>
  <si>
    <t>Habitación Privada</t>
  </si>
  <si>
    <t>Habitación de Cuidados Intensivos</t>
  </si>
  <si>
    <t>Habitación de Cuidados Intensivos Neonatales</t>
  </si>
  <si>
    <t>Sala de Unidad de Cardiología</t>
  </si>
  <si>
    <t>Sala de Operaciones de recuperación o curaciones</t>
  </si>
  <si>
    <t>Honorarios Médicos</t>
  </si>
  <si>
    <t>Medicinas Administradas en el Hospital</t>
  </si>
  <si>
    <t>Estudios de Diagnostico</t>
  </si>
  <si>
    <t>Cardiología Intervencionista</t>
  </si>
  <si>
    <t>Radiología Intervencionista</t>
  </si>
  <si>
    <t>Tratamientos Especializados en Dolor</t>
  </si>
  <si>
    <t>Consulta externa (Límite 5 consultas al año póliza por persona con médicos del HHLL) * por reembolso convencional</t>
  </si>
  <si>
    <t>Polisomnografia</t>
  </si>
  <si>
    <t>Laboratorio Clínico</t>
  </si>
  <si>
    <t>Radiología</t>
  </si>
  <si>
    <t>Tomografía</t>
  </si>
  <si>
    <t>Cardiología Diagnostica</t>
  </si>
  <si>
    <t>Endoscopía (Gastrointestinal, Urológica)</t>
  </si>
  <si>
    <t>Espirometría</t>
  </si>
  <si>
    <t>Ultrasonido</t>
  </si>
  <si>
    <t>Resonancia Magnética</t>
  </si>
  <si>
    <t>Tratamientos de Terapia Física o Respiratoria en el Hospital</t>
  </si>
  <si>
    <t>Tratamiento de Cáncer</t>
  </si>
  <si>
    <t>Diálisis y Hemodiálisis</t>
  </si>
  <si>
    <t>Cirugía Estética o Reconstructiva por Accidente</t>
  </si>
  <si>
    <t>Tratamiento Dental por Accidente</t>
  </si>
  <si>
    <t>Privilegio de Continuidad de Cobertura para Dependientes</t>
  </si>
  <si>
    <t>Aplica</t>
  </si>
  <si>
    <t>BENEFICIOS EXCLUSIVOS</t>
  </si>
  <si>
    <t>Curso Baby Boom</t>
  </si>
  <si>
    <t>Chequeo Médico Preventivo</t>
  </si>
  <si>
    <t>Recargo por Traslado de Preexistencias:</t>
  </si>
  <si>
    <t>COBERTURA</t>
  </si>
  <si>
    <t>Suma Asegurada Anual</t>
  </si>
  <si>
    <t>Edad Máxima de Ingreso</t>
  </si>
  <si>
    <t>74 años</t>
  </si>
  <si>
    <t>Renovación</t>
  </si>
  <si>
    <t>Garantizada de por Vida</t>
  </si>
  <si>
    <t>Cobertura</t>
  </si>
  <si>
    <t>Cobertura Geográfica</t>
  </si>
  <si>
    <t>Servicios hospitalarios y ambulatorios proporcionados por la Red Preferente y sus médicos. Tratamientos en el extranjero medicamente necesarios no tratables en la Red Preferente con autorización previa.</t>
  </si>
  <si>
    <t>Privilegio de continuidad de cobertura para dependientes</t>
  </si>
  <si>
    <t>INCLUIDO</t>
  </si>
  <si>
    <t>Exoneración de deducible en consulta en clínica (máximo 5 consultas por asegurado al año)</t>
  </si>
  <si>
    <t>Exoneración de deducible en caso de emergencia por accidente menor (sin hospitalización)</t>
  </si>
  <si>
    <t>Coordinación de Beneficios</t>
  </si>
  <si>
    <t>Coordinación de beneficios para gastos fuera de Guatemala siendo healthONE póliza secundaria. Coordinación de beneficios con pólizas locales por hospitalizaciones en la Red Preferente.</t>
  </si>
  <si>
    <t>Ambulancia Terrestre</t>
  </si>
  <si>
    <t xml:space="preserve">Sin límite </t>
  </si>
  <si>
    <t>VIH / Sida</t>
  </si>
  <si>
    <t>Trasplante de Órganos Principales</t>
  </si>
  <si>
    <t>Gastos de Donador de Trasplante</t>
  </si>
  <si>
    <t>Hospedaje para acompañante de menor de edad o mayor de 65 años</t>
  </si>
  <si>
    <t>Terapias especiales (habla, trastornos de sueño)</t>
  </si>
  <si>
    <t>Medicinas hasta 30 días (después de hospitalización, emergencia y/ consulta)</t>
  </si>
  <si>
    <t>Reembolso 100%</t>
  </si>
  <si>
    <t>Enfermedades Congénitas y/o Hereditarias</t>
  </si>
  <si>
    <t>Diagnosticada antes de los 18 años de edad</t>
  </si>
  <si>
    <t>Diagnosticada después de los 18 años</t>
  </si>
  <si>
    <t>Hasta el límite anual (C.C.O.I.)</t>
  </si>
  <si>
    <t>MATERNIDAD (OPCIONAL/APLICA SOLO SI ESTÁ INCLUIDA)</t>
  </si>
  <si>
    <t>Gastos de Maternidad</t>
  </si>
  <si>
    <t>Deducible beneficios de maternidad</t>
  </si>
  <si>
    <t>Atención Ordinaria al Recién Nacido</t>
  </si>
  <si>
    <t>Complicaciones del recién nacido y Enfermedades Congénitas y/o Hereditarias</t>
  </si>
  <si>
    <t>Control de Niño Sano (primeros 5 años de Vida)</t>
  </si>
  <si>
    <t>Inclusión automática de Recien Nacido de Maternidad Cubierta</t>
  </si>
  <si>
    <t xml:space="preserve">Presente </t>
  </si>
  <si>
    <t>El programa cuenta con las siguientes coberturas y beneficios:</t>
  </si>
  <si>
    <t xml:space="preserve">FORMA DE PAGO </t>
  </si>
  <si>
    <t xml:space="preserve">PRIMA TOTAL ANUAL </t>
  </si>
  <si>
    <t xml:space="preserve">Prima Anual </t>
  </si>
  <si>
    <t xml:space="preserve">Prima Semestral </t>
  </si>
  <si>
    <t xml:space="preserve">Prima Trimestral </t>
  </si>
  <si>
    <t xml:space="preserve">Prima Mensual </t>
  </si>
  <si>
    <t xml:space="preserve">TARIFA ANUAL TITULAR </t>
  </si>
  <si>
    <t xml:space="preserve">TARIFA ANUAL CONYUGUE </t>
  </si>
  <si>
    <t xml:space="preserve">TARIFA ANUAL HIJOS </t>
  </si>
  <si>
    <t>A continuación cuadro comparativo de primas entre las diferentes opciones de deducibles y planes.</t>
  </si>
  <si>
    <t>Hijos:</t>
  </si>
  <si>
    <t>PRIMA TOTAL A  PAGAR POR PLAN:</t>
  </si>
  <si>
    <t>Maternidad:</t>
  </si>
  <si>
    <t>NETA</t>
  </si>
  <si>
    <t>EMISIÓN</t>
  </si>
  <si>
    <t>IVA</t>
  </si>
  <si>
    <t>ANUAL</t>
  </si>
  <si>
    <t>SEMESTRAL</t>
  </si>
  <si>
    <t>TRIMESTRAL</t>
  </si>
  <si>
    <t>MENSUAL</t>
  </si>
  <si>
    <t>Inclusión Automática de Recién Nacido de Maternidad Cubierta</t>
  </si>
  <si>
    <t>Atentamente,</t>
  </si>
  <si>
    <t>Puesto / Nombre Agencia</t>
  </si>
  <si>
    <t>IMPORTANTE:</t>
  </si>
  <si>
    <t>Exámenes requeridos para mayores de 60 años.</t>
  </si>
  <si>
    <t>Examen físico</t>
  </si>
  <si>
    <t>Examen completo de Orina con sedimento urinario</t>
  </si>
  <si>
    <t>Hematología Completa</t>
  </si>
  <si>
    <t>Colesterol Total, HDL, LDL y Triglicéridos</t>
  </si>
  <si>
    <t>Nitrógeno de Urea, Creatinina y Ácido Úrico</t>
  </si>
  <si>
    <t>Hemoglobina Glicosilada</t>
  </si>
  <si>
    <t>Radiografía de Tórax</t>
  </si>
  <si>
    <t>Electrocardiograma</t>
  </si>
  <si>
    <t>Cuestionarios adicionales por condiciones de salud</t>
  </si>
  <si>
    <t>Requisitos para aplicar al seguro:</t>
  </si>
  <si>
    <t xml:space="preserve">Solicitud completa </t>
  </si>
  <si>
    <t>Solicitud de Información del cliente</t>
  </si>
  <si>
    <t xml:space="preserve">Formulario de Pago </t>
  </si>
  <si>
    <t>DPI (titular, cónyuge y dependientes mayores de edad)</t>
  </si>
  <si>
    <t>Cotización</t>
  </si>
  <si>
    <t>OPCIONES DE DEDUCIBLE - PLAN I</t>
  </si>
  <si>
    <t>OPCIONES DE DEDUCIBLE - PLAN II</t>
  </si>
  <si>
    <t xml:space="preserve">Plan I </t>
  </si>
  <si>
    <t>RESUMEN DE COBERTURAS Y BENEFICIOS</t>
  </si>
  <si>
    <t>(Vigentes a partir de enero 2019)</t>
  </si>
  <si>
    <t>COBERTURAS Y BENEFICIO</t>
  </si>
  <si>
    <t>MÁXIMO</t>
  </si>
  <si>
    <t xml:space="preserve">Edad máxima de ingreso </t>
  </si>
  <si>
    <t xml:space="preserve">Renovación </t>
  </si>
  <si>
    <t>Garantizada de por vida</t>
  </si>
  <si>
    <t>Coordinación de beneficios</t>
  </si>
  <si>
    <t>GASTOS HOSPITALARIOS</t>
  </si>
  <si>
    <t>Habitación privada</t>
  </si>
  <si>
    <t>Habitación de cuidados intensivos adultos</t>
  </si>
  <si>
    <t>Habitación de cuidados intensivos pediátrica y neonatal</t>
  </si>
  <si>
    <t>Sala de unidad de cardiología Intervencionista</t>
  </si>
  <si>
    <t xml:space="preserve">Sala de operaciones, recuperación o curaciones </t>
  </si>
  <si>
    <t>Servicios Ordinarios de Enfermería</t>
  </si>
  <si>
    <t>Servicios de Enfermería Especializada en Cuidados Intensivos Neonatales</t>
  </si>
  <si>
    <t>Hospedaje para familiar acompañante de menor de edad o mayor de 65 años</t>
  </si>
  <si>
    <t>Sin límite</t>
  </si>
  <si>
    <t>Max. 30 noches</t>
  </si>
  <si>
    <t>Honorarios médicos (cirujanos y anestesiólogos)</t>
  </si>
  <si>
    <t>Medicamentos Suministrados por Atención Médica en el Hospital</t>
  </si>
  <si>
    <t>Medicamentos hasta 30 días (después de hospitalización, emergencia y/ consulta)</t>
  </si>
  <si>
    <t>Exámenes de diagnóstico</t>
  </si>
  <si>
    <t xml:space="preserve">Cardiología intervencionista </t>
  </si>
  <si>
    <t>Radiología intervencionista</t>
  </si>
  <si>
    <t xml:space="preserve">Tratamientos especializados en dolor </t>
  </si>
  <si>
    <t>Psiquiatría Interna</t>
  </si>
  <si>
    <t>Gastos de donador de trasplante</t>
  </si>
  <si>
    <t xml:space="preserve">Tratamientos de terapia física o respiratoria en el hospital </t>
  </si>
  <si>
    <t>Diálisis y hemodiálisis</t>
  </si>
  <si>
    <t>Consulta externa (Límite 5 consultas al año póliza por persona con médicos de la Red Preferente) * por reembolso convencional</t>
  </si>
  <si>
    <t xml:space="preserve">Laboratorio clínico </t>
  </si>
  <si>
    <t xml:space="preserve">Radiología </t>
  </si>
  <si>
    <t xml:space="preserve">Cardiología diagnostica </t>
  </si>
  <si>
    <t xml:space="preserve">Endoscopía (Gastrointestinal, urológica) </t>
  </si>
  <si>
    <t>20 sesiones año póliza</t>
  </si>
  <si>
    <t>10 sesiones año póliza</t>
  </si>
  <si>
    <t>Tratamiento de cáncer</t>
  </si>
  <si>
    <t xml:space="preserve">Cirugía estética o reconstructiva por accidente </t>
  </si>
  <si>
    <t xml:space="preserve">Tratamiento dental por accidente </t>
  </si>
  <si>
    <t>Ambulancia aérea</t>
  </si>
  <si>
    <t>US$25,000</t>
  </si>
  <si>
    <t>US$15,000</t>
  </si>
  <si>
    <t xml:space="preserve">Ambulancia terrestre </t>
  </si>
  <si>
    <t>2 por Año Póliza</t>
  </si>
  <si>
    <t>VIH / SIDA</t>
  </si>
  <si>
    <t>COBERTURA DE MATERNIDAD (Opcional)</t>
  </si>
  <si>
    <t>Sin Límite</t>
  </si>
  <si>
    <t xml:space="preserve">Atención ordinaria al recién nacido </t>
  </si>
  <si>
    <t>Control de niño sano (primeros 5 años de vida)</t>
  </si>
  <si>
    <t>Cursos de preparación para las futuras mamás y papás para el nacimiento de su bebé, haciendo de este una experiencia maravillosa y con la menor molestia posible.</t>
  </si>
  <si>
    <t>No Aplica</t>
  </si>
  <si>
    <t>Chequeo médico preventivo para titular y cónyuge</t>
  </si>
  <si>
    <t>Evaluación periódica personalizada que tiene por objetivo promover estilos de vida saludable previniendo enfermedades propias de la edad y factores de riesgos asociados. Los chequeos son realizados por médicos especialistas miembros de la Red Preferente. Periodo de espera: 6 meses. • Primer año: deducible de Q600 • Segundo año: deducible de Q300 • A partir de 3er. año: sin deducible.</t>
  </si>
  <si>
    <t>Evaluación periódica personalizada que tiene por objetivo promover estilos de vida saludable previniendo enfermedades propias de la edad y factores de riesgos asociados. Los chequeos son realizados por médicos especialistas miembros de la Red Preferente. Periodo de espera: 12 meses. • Segundo año: deducible de Q1,000 • Tercer año: deducible de Q600 • A partir de 4to. año: sin deducible.</t>
  </si>
  <si>
    <t xml:space="preserve">Suma Asegurada Anual </t>
  </si>
  <si>
    <t xml:space="preserve">años </t>
  </si>
  <si>
    <t xml:space="preserve">Sin Límite </t>
  </si>
  <si>
    <t>Máximo 30 Noches</t>
  </si>
  <si>
    <t>Hasta el Límite Anual (C.C.O.I.)</t>
  </si>
  <si>
    <t>2 por año Póliza</t>
  </si>
  <si>
    <t>10 Sesiones Año Póliza</t>
  </si>
  <si>
    <t xml:space="preserve">20 Sesiones Año Póliza </t>
  </si>
  <si>
    <t>1910000</t>
  </si>
  <si>
    <t>20 - 2410000</t>
  </si>
  <si>
    <t>25 - 2910000</t>
  </si>
  <si>
    <t>30 - 3410000</t>
  </si>
  <si>
    <t>35 - 3910000</t>
  </si>
  <si>
    <t>40 - 4410000</t>
  </si>
  <si>
    <t>45 - 4910000</t>
  </si>
  <si>
    <t>50 - 5410000</t>
  </si>
  <si>
    <t>55 -5910000</t>
  </si>
  <si>
    <t>60 - 6410000</t>
  </si>
  <si>
    <t>65 - 6910000</t>
  </si>
  <si>
    <t>70 - 7410000</t>
  </si>
  <si>
    <t>75 - 7910000</t>
  </si>
  <si>
    <t>80+10000</t>
  </si>
  <si>
    <t>1915000</t>
  </si>
  <si>
    <t>20 - 2415000</t>
  </si>
  <si>
    <t>25 - 2915000</t>
  </si>
  <si>
    <t>30 - 3415000</t>
  </si>
  <si>
    <t>35 - 3915000</t>
  </si>
  <si>
    <t>40 - 4415000</t>
  </si>
  <si>
    <t>45 - 4915000</t>
  </si>
  <si>
    <t>50 - 5415000</t>
  </si>
  <si>
    <t>55 -5915000</t>
  </si>
  <si>
    <t>60 - 6415000</t>
  </si>
  <si>
    <t>65 - 6915000</t>
  </si>
  <si>
    <t>70 - 7415000</t>
  </si>
  <si>
    <t>75 - 7915000</t>
  </si>
  <si>
    <t>80+15000</t>
  </si>
  <si>
    <t>1920000</t>
  </si>
  <si>
    <t>20 - 2420000</t>
  </si>
  <si>
    <t>25 - 2920000</t>
  </si>
  <si>
    <t>30 - 3420000</t>
  </si>
  <si>
    <t>35 - 3920000</t>
  </si>
  <si>
    <t>40 - 4420000</t>
  </si>
  <si>
    <t>45 - 4920000</t>
  </si>
  <si>
    <t>50 - 5420000</t>
  </si>
  <si>
    <t>55 -5920000</t>
  </si>
  <si>
    <t>60 - 6420000</t>
  </si>
  <si>
    <t>65 - 6920000</t>
  </si>
  <si>
    <t>70 - 7420000</t>
  </si>
  <si>
    <t>75 - 7920000</t>
  </si>
  <si>
    <t>80+20000</t>
  </si>
  <si>
    <t>1930000</t>
  </si>
  <si>
    <t>20 - 2430000</t>
  </si>
  <si>
    <t>25 - 2930000</t>
  </si>
  <si>
    <t>30 - 3430000</t>
  </si>
  <si>
    <t>35 - 3930000</t>
  </si>
  <si>
    <t>40 - 4430000</t>
  </si>
  <si>
    <t>45 - 4930000</t>
  </si>
  <si>
    <t>50 - 5430000</t>
  </si>
  <si>
    <t>55 -5930000</t>
  </si>
  <si>
    <t>60 - 6430000</t>
  </si>
  <si>
    <t>65 - 6930000</t>
  </si>
  <si>
    <t>70 - 7430000</t>
  </si>
  <si>
    <t>75 - 7930000</t>
  </si>
  <si>
    <t>80+30000</t>
  </si>
  <si>
    <t>1945000</t>
  </si>
  <si>
    <t>20 - 2445000</t>
  </si>
  <si>
    <t>25 - 2945000</t>
  </si>
  <si>
    <t>30 - 3445000</t>
  </si>
  <si>
    <t>35 - 3945000</t>
  </si>
  <si>
    <t>40 - 4445000</t>
  </si>
  <si>
    <t>45 - 4945000</t>
  </si>
  <si>
    <t>50 - 5445000</t>
  </si>
  <si>
    <t>55 -5945000</t>
  </si>
  <si>
    <t>60 - 6445000</t>
  </si>
  <si>
    <t>65 - 6945000</t>
  </si>
  <si>
    <t>70 - 7445000</t>
  </si>
  <si>
    <t>75 - 7945000</t>
  </si>
  <si>
    <t>80+45000</t>
  </si>
  <si>
    <t>1 Hijo10000</t>
  </si>
  <si>
    <t>1 Hijo15000</t>
  </si>
  <si>
    <t>1 Hijo20000</t>
  </si>
  <si>
    <t>1 Hijo30000</t>
  </si>
  <si>
    <t>1 Hijo45000</t>
  </si>
  <si>
    <t>2 Hijos10000</t>
  </si>
  <si>
    <t>2 Hijos15000</t>
  </si>
  <si>
    <t>2 Hijos20000</t>
  </si>
  <si>
    <t>2 Hijos30000</t>
  </si>
  <si>
    <t>2 Hijos45000</t>
  </si>
  <si>
    <t>3 o Más Hijos10000</t>
  </si>
  <si>
    <t>3 o Más Hijos15000</t>
  </si>
  <si>
    <t>3 o Más Hijos20000</t>
  </si>
  <si>
    <t>3 o Más Hijos30000</t>
  </si>
  <si>
    <t>3 o Más Hijos45000</t>
  </si>
  <si>
    <t>10000</t>
  </si>
  <si>
    <t>15000</t>
  </si>
  <si>
    <t>20000</t>
  </si>
  <si>
    <t>30000</t>
  </si>
  <si>
    <t>45000</t>
  </si>
  <si>
    <t>PLAN i</t>
  </si>
  <si>
    <t xml:space="preserve">PLAN I </t>
  </si>
  <si>
    <t>Por este medio tenemos el agrado de presentarle cotización para su seguro de Gastos Médicos Individual - Health One, el cual cuenta con el respaldo de Seguros Agromercantil, S.A. y su Red Preferente.</t>
  </si>
  <si>
    <t xml:space="preserve">*Reembolsos sujetos a deducible </t>
  </si>
  <si>
    <t>Ambulancia Aérea (US$)</t>
  </si>
  <si>
    <t>Edad Titular:</t>
  </si>
  <si>
    <t>Edad Cónyuge:</t>
  </si>
  <si>
    <t>Sin Hijos</t>
  </si>
  <si>
    <t>Plan I</t>
  </si>
  <si>
    <t>Señor</t>
  </si>
  <si>
    <t>Cliente interesado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</si>
</sst>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Q&quot;#,##0;[Red]\-&quot;Q&quot;#,##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-[$Q-100A]* #,##0.0_-;\-[$Q-100A]* #,##0.0_-;_-[$Q-100A]* &quot;-&quot;??_-;_-@_-"/>
    <numFmt numFmtId="167" formatCode="0.0%"/>
    <numFmt numFmtId="168" formatCode="_-[$$-540A]* #,##0.00_ ;_-[$$-540A]* \-#,##0.00\ ;_-[$$-540A]* &quot;-&quot;??_ ;_-@_ "/>
    <numFmt numFmtId="169" formatCode="&quot;Q&quot;#,##0.00"/>
    <numFmt numFmtId="170" formatCode="[$$-540A]#,##0.00"/>
    <numFmt numFmtId="171" formatCode="[$-F800]dddd\,\ mmmm\ dd\,\ yyyy"/>
    <numFmt numFmtId="172" formatCode="[$$-409]#,##0.00"/>
    <numFmt numFmtId="173" formatCode="_-[$$-409]* #,##0.00_ ;_-[$$-409]* \-#,##0.00\ ;_-[$$-409]* &quot;-&quot;??_ ;_-@_ "/>
    <numFmt numFmtId="174" formatCode="[$$-540A]#,##0"/>
    <numFmt numFmtId="175" formatCode="[$-580A]dddd\,\ dd&quot; de &quot;mmmm&quot; de &quot;yyyy;@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1"/>
      <color theme="1"/>
      <name val="Helvetica"/>
      <family val="2"/>
    </font>
    <font>
      <b/>
      <sz val="16"/>
      <color theme="1"/>
      <name val="Helvetica"/>
      <family val="2"/>
    </font>
    <font>
      <sz val="12"/>
      <color theme="1"/>
      <name val="Helvetica"/>
      <family val="2"/>
    </font>
    <font>
      <b/>
      <sz val="11"/>
      <color theme="1"/>
      <name val="Helvética"/>
    </font>
    <font>
      <b/>
      <sz val="11"/>
      <color theme="1"/>
      <name val="Helvetica"/>
      <family val="2"/>
    </font>
    <font>
      <sz val="11"/>
      <color theme="1"/>
      <name val="Helvética"/>
    </font>
    <font>
      <sz val="11"/>
      <color theme="1"/>
      <name val="Arial Narrow"/>
      <family val="2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74999237037263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theme="1" tint="0.34998626667073579"/>
      </left>
      <right style="thin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 style="thin">
        <color theme="1" tint="0.34998626667073579"/>
      </bottom>
      <diagonal/>
    </border>
    <border>
      <left/>
      <right/>
      <top style="thick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double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 style="double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/>
      <right/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1" tint="0.499984740745262"/>
      </right>
      <top style="thin">
        <color theme="0" tint="-0.34998626667073579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0" tint="-0.34998626667073579"/>
      </top>
      <bottom/>
      <diagonal/>
    </border>
    <border>
      <left style="hair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2">
    <xf numFmtId="0" fontId="0" fillId="0" borderId="0" xfId="0"/>
    <xf numFmtId="43" fontId="0" fillId="0" borderId="0" xfId="4" applyFont="1"/>
    <xf numFmtId="0" fontId="0" fillId="0" borderId="0" xfId="0" applyAlignment="1" applyProtection="1">
      <alignment vertical="center"/>
      <protection hidden="1"/>
    </xf>
    <xf numFmtId="165" fontId="4" fillId="3" borderId="2" xfId="2" applyFont="1" applyFill="1" applyBorder="1" applyAlignment="1" applyProtection="1">
      <alignment horizontal="center" vertical="center"/>
      <protection hidden="1"/>
    </xf>
    <xf numFmtId="165" fontId="2" fillId="3" borderId="2" xfId="2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center" vertical="center"/>
      <protection hidden="1"/>
    </xf>
    <xf numFmtId="0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5" fillId="4" borderId="2" xfId="1" applyFont="1" applyFill="1" applyBorder="1" applyAlignment="1" applyProtection="1">
      <alignment vertical="center"/>
      <protection hidden="1"/>
    </xf>
    <xf numFmtId="165" fontId="5" fillId="2" borderId="2" xfId="1" applyFont="1" applyFill="1" applyBorder="1" applyAlignment="1" applyProtection="1">
      <alignment vertical="center"/>
      <protection hidden="1"/>
    </xf>
    <xf numFmtId="165" fontId="2" fillId="3" borderId="2" xfId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66" fontId="5" fillId="0" borderId="0" xfId="3" applyNumberFormat="1" applyFont="1" applyFill="1" applyBorder="1" applyAlignment="1" applyProtection="1">
      <alignment vertical="center"/>
      <protection hidden="1"/>
    </xf>
    <xf numFmtId="43" fontId="0" fillId="0" borderId="0" xfId="4" applyFont="1" applyAlignment="1" applyProtection="1">
      <alignment vertical="center"/>
      <protection hidden="1"/>
    </xf>
    <xf numFmtId="10" fontId="0" fillId="0" borderId="2" xfId="0" applyNumberFormat="1" applyBorder="1" applyAlignment="1" applyProtection="1">
      <alignment vertical="center"/>
      <protection hidden="1"/>
    </xf>
    <xf numFmtId="167" fontId="0" fillId="0" borderId="0" xfId="5" applyNumberFormat="1" applyFont="1" applyAlignment="1" applyProtection="1">
      <alignment vertical="center"/>
      <protection hidden="1"/>
    </xf>
    <xf numFmtId="43" fontId="0" fillId="0" borderId="0" xfId="0" applyNumberFormat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" fillId="0" borderId="0" xfId="1" applyNumberFormat="1" applyFont="1" applyFill="1" applyBorder="1" applyAlignment="1" applyProtection="1">
      <alignment horizontal="center" vertical="center"/>
      <protection hidden="1"/>
    </xf>
    <xf numFmtId="9" fontId="0" fillId="0" borderId="0" xfId="0" applyNumberFormat="1" applyFill="1" applyBorder="1" applyAlignment="1" applyProtection="1">
      <alignment vertical="center"/>
      <protection hidden="1"/>
    </xf>
    <xf numFmtId="165" fontId="2" fillId="0" borderId="0" xfId="1" applyFont="1" applyFill="1" applyBorder="1" applyAlignment="1" applyProtection="1">
      <alignment horizontal="center" vertical="center"/>
      <protection hidden="1"/>
    </xf>
    <xf numFmtId="165" fontId="2" fillId="0" borderId="0" xfId="2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65" fontId="5" fillId="2" borderId="5" xfId="1" applyFont="1" applyFill="1" applyBorder="1" applyAlignment="1" applyProtection="1">
      <alignment vertical="center"/>
      <protection hidden="1"/>
    </xf>
    <xf numFmtId="165" fontId="5" fillId="2" borderId="0" xfId="1" applyFont="1" applyFill="1" applyBorder="1" applyAlignment="1" applyProtection="1">
      <alignment vertical="center"/>
      <protection hidden="1"/>
    </xf>
    <xf numFmtId="165" fontId="5" fillId="4" borderId="5" xfId="1" applyFont="1" applyFill="1" applyBorder="1" applyAlignment="1" applyProtection="1">
      <alignment vertical="center"/>
      <protection hidden="1"/>
    </xf>
    <xf numFmtId="165" fontId="5" fillId="4" borderId="0" xfId="1" applyFont="1" applyFill="1" applyBorder="1" applyAlignment="1" applyProtection="1">
      <alignment vertical="center"/>
      <protection hidden="1"/>
    </xf>
    <xf numFmtId="165" fontId="5" fillId="4" borderId="6" xfId="1" applyFont="1" applyFill="1" applyBorder="1" applyAlignment="1" applyProtection="1">
      <alignment vertical="center"/>
      <protection hidden="1"/>
    </xf>
    <xf numFmtId="168" fontId="2" fillId="3" borderId="2" xfId="2" applyNumberFormat="1" applyFont="1" applyFill="1" applyBorder="1" applyAlignment="1" applyProtection="1">
      <alignment horizontal="center" vertical="center"/>
      <protection hidden="1"/>
    </xf>
    <xf numFmtId="44" fontId="0" fillId="0" borderId="0" xfId="0" applyNumberFormat="1" applyAlignment="1" applyProtection="1">
      <alignment vertical="center"/>
      <protection hidden="1"/>
    </xf>
    <xf numFmtId="44" fontId="0" fillId="0" borderId="0" xfId="0" applyNumberFormat="1" applyFill="1" applyBorder="1" applyAlignment="1" applyProtection="1">
      <alignment vertical="center"/>
      <protection hidden="1"/>
    </xf>
    <xf numFmtId="43" fontId="0" fillId="5" borderId="7" xfId="4" applyFont="1" applyFill="1" applyBorder="1" applyAlignment="1">
      <alignment vertical="center"/>
    </xf>
    <xf numFmtId="9" fontId="0" fillId="0" borderId="0" xfId="5" applyFont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44" fontId="0" fillId="0" borderId="2" xfId="0" applyNumberFormat="1" applyBorder="1" applyAlignment="1" applyProtection="1">
      <alignment vertical="center"/>
      <protection hidden="1"/>
    </xf>
    <xf numFmtId="168" fontId="0" fillId="0" borderId="2" xfId="4" applyNumberFormat="1" applyFont="1" applyBorder="1" applyAlignment="1" applyProtection="1">
      <alignment vertical="center"/>
      <protection hidden="1"/>
    </xf>
    <xf numFmtId="165" fontId="0" fillId="0" borderId="2" xfId="1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 wrapText="1"/>
      <protection hidden="1"/>
    </xf>
    <xf numFmtId="43" fontId="0" fillId="0" borderId="2" xfId="0" applyNumberFormat="1" applyBorder="1" applyAlignment="1" applyProtection="1">
      <alignment vertical="center"/>
      <protection hidden="1"/>
    </xf>
    <xf numFmtId="9" fontId="0" fillId="0" borderId="2" xfId="5" applyFont="1" applyBorder="1" applyAlignment="1" applyProtection="1">
      <alignment vertical="center"/>
      <protection hidden="1"/>
    </xf>
    <xf numFmtId="169" fontId="0" fillId="0" borderId="0" xfId="0" applyNumberFormat="1"/>
    <xf numFmtId="0" fontId="0" fillId="9" borderId="0" xfId="0" applyFill="1"/>
    <xf numFmtId="0" fontId="13" fillId="5" borderId="0" xfId="0" applyFont="1" applyFill="1" applyAlignment="1" applyProtection="1">
      <alignment vertical="top" wrapText="1"/>
      <protection hidden="1"/>
    </xf>
    <xf numFmtId="0" fontId="9" fillId="8" borderId="43" xfId="0" applyFont="1" applyFill="1" applyBorder="1" applyAlignment="1">
      <alignment horizontal="center" vertical="center"/>
    </xf>
    <xf numFmtId="0" fontId="0" fillId="0" borderId="43" xfId="0" applyBorder="1"/>
    <xf numFmtId="0" fontId="0" fillId="4" borderId="43" xfId="0" applyFont="1" applyFill="1" applyBorder="1" applyAlignment="1" applyProtection="1">
      <alignment vertical="center" wrapText="1"/>
      <protection hidden="1"/>
    </xf>
    <xf numFmtId="0" fontId="0" fillId="0" borderId="43" xfId="0" applyBorder="1" applyAlignment="1">
      <alignment horizontal="left"/>
    </xf>
    <xf numFmtId="0" fontId="14" fillId="4" borderId="0" xfId="0" applyFont="1" applyFill="1" applyProtection="1">
      <protection hidden="1"/>
    </xf>
    <xf numFmtId="0" fontId="0" fillId="4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/>
    <xf numFmtId="0" fontId="0" fillId="0" borderId="0" xfId="0" applyFont="1" applyFill="1" applyBorder="1" applyAlignment="1" applyProtection="1">
      <alignment vertical="center" wrapText="1"/>
      <protection hidden="1"/>
    </xf>
    <xf numFmtId="169" fontId="0" fillId="0" borderId="0" xfId="0" applyNumberFormat="1" applyFont="1" applyFill="1" applyBorder="1" applyAlignment="1" applyProtection="1">
      <alignment vertical="center" wrapText="1"/>
      <protection hidden="1"/>
    </xf>
    <xf numFmtId="9" fontId="0" fillId="0" borderId="0" xfId="5" applyFont="1" applyFill="1" applyBorder="1" applyAlignment="1" applyProtection="1">
      <alignment vertical="center" wrapText="1"/>
      <protection hidden="1"/>
    </xf>
    <xf numFmtId="9" fontId="11" fillId="0" borderId="0" xfId="5" applyFont="1" applyFill="1" applyBorder="1" applyAlignment="1" applyProtection="1">
      <alignment vertical="center" wrapText="1"/>
      <protection hidden="1"/>
    </xf>
    <xf numFmtId="169" fontId="11" fillId="0" borderId="0" xfId="0" applyNumberFormat="1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3" fillId="5" borderId="0" xfId="0" applyFont="1" applyFill="1" applyProtection="1">
      <protection hidden="1"/>
    </xf>
    <xf numFmtId="165" fontId="16" fillId="0" borderId="0" xfId="2" applyFont="1" applyFill="1" applyBorder="1" applyAlignment="1" applyProtection="1">
      <protection hidden="1"/>
    </xf>
    <xf numFmtId="173" fontId="16" fillId="0" borderId="0" xfId="2" applyNumberFormat="1" applyFont="1" applyFill="1" applyBorder="1" applyAlignment="1" applyProtection="1">
      <protection hidden="1"/>
    </xf>
    <xf numFmtId="0" fontId="18" fillId="0" borderId="0" xfId="0" applyFont="1" applyFill="1" applyAlignment="1" applyProtection="1">
      <protection hidden="1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19" fillId="5" borderId="0" xfId="0" applyFont="1" applyFill="1" applyAlignment="1">
      <alignment vertical="center" wrapText="1"/>
    </xf>
    <xf numFmtId="0" fontId="19" fillId="5" borderId="0" xfId="0" applyFont="1" applyFill="1" applyAlignment="1">
      <alignment horizontal="center" vertical="center" wrapText="1"/>
    </xf>
    <xf numFmtId="0" fontId="20" fillId="5" borderId="57" xfId="0" applyFont="1" applyFill="1" applyBorder="1" applyAlignment="1">
      <alignment vertical="center" wrapText="1"/>
    </xf>
    <xf numFmtId="0" fontId="20" fillId="5" borderId="57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vertical="center" wrapText="1"/>
    </xf>
    <xf numFmtId="0" fontId="22" fillId="5" borderId="59" xfId="0" applyFont="1" applyFill="1" applyBorder="1" applyAlignment="1">
      <alignment horizontal="center" vertical="center" wrapText="1"/>
    </xf>
    <xf numFmtId="0" fontId="23" fillId="5" borderId="59" xfId="0" applyFont="1" applyFill="1" applyBorder="1" applyAlignment="1">
      <alignment horizontal="center" vertical="center" wrapText="1"/>
    </xf>
    <xf numFmtId="0" fontId="24" fillId="5" borderId="59" xfId="0" applyFont="1" applyFill="1" applyBorder="1" applyAlignment="1">
      <alignment vertical="center" wrapText="1"/>
    </xf>
    <xf numFmtId="6" fontId="19" fillId="5" borderId="59" xfId="0" applyNumberFormat="1" applyFont="1" applyFill="1" applyBorder="1" applyAlignment="1">
      <alignment horizontal="center" vertical="center" wrapText="1"/>
    </xf>
    <xf numFmtId="0" fontId="19" fillId="5" borderId="59" xfId="0" applyFont="1" applyFill="1" applyBorder="1" applyAlignment="1">
      <alignment vertical="center" wrapText="1"/>
    </xf>
    <xf numFmtId="9" fontId="19" fillId="5" borderId="59" xfId="0" applyNumberFormat="1" applyFont="1" applyFill="1" applyBorder="1" applyAlignment="1">
      <alignment horizontal="center" vertical="center" wrapText="1"/>
    </xf>
    <xf numFmtId="0" fontId="19" fillId="11" borderId="59" xfId="0" applyFont="1" applyFill="1" applyBorder="1" applyAlignment="1">
      <alignment vertical="center" wrapText="1"/>
    </xf>
    <xf numFmtId="0" fontId="19" fillId="12" borderId="59" xfId="0" applyFont="1" applyFill="1" applyBorder="1" applyAlignment="1">
      <alignment horizontal="center" vertical="center" wrapText="1"/>
    </xf>
    <xf numFmtId="0" fontId="19" fillId="5" borderId="59" xfId="0" applyFont="1" applyFill="1" applyBorder="1" applyAlignment="1">
      <alignment horizontal="center" vertical="center" wrapText="1"/>
    </xf>
    <xf numFmtId="9" fontId="19" fillId="5" borderId="59" xfId="0" applyNumberFormat="1" applyFont="1" applyFill="1" applyBorder="1" applyAlignment="1">
      <alignment vertical="center" wrapText="1"/>
    </xf>
    <xf numFmtId="0" fontId="20" fillId="5" borderId="0" xfId="0" applyFont="1" applyFill="1" applyAlignment="1">
      <alignment horizontal="center" vertical="center" wrapText="1"/>
    </xf>
    <xf numFmtId="0" fontId="19" fillId="13" borderId="59" xfId="0" applyFont="1" applyFill="1" applyBorder="1" applyAlignment="1">
      <alignment vertical="center" wrapText="1"/>
    </xf>
    <xf numFmtId="9" fontId="19" fillId="13" borderId="59" xfId="0" applyNumberFormat="1" applyFont="1" applyFill="1" applyBorder="1" applyAlignment="1">
      <alignment vertical="center" wrapText="1"/>
    </xf>
    <xf numFmtId="0" fontId="25" fillId="0" borderId="60" xfId="0" applyFont="1" applyBorder="1" applyAlignment="1">
      <alignment horizontal="justify" vertical="center" wrapText="1"/>
    </xf>
    <xf numFmtId="0" fontId="25" fillId="0" borderId="61" xfId="0" applyFont="1" applyBorder="1" applyAlignment="1">
      <alignment horizontal="justify" vertical="center" wrapText="1"/>
    </xf>
    <xf numFmtId="0" fontId="19" fillId="11" borderId="59" xfId="0" applyFont="1" applyFill="1" applyBorder="1" applyAlignment="1">
      <alignment horizontal="center" vertical="center" wrapText="1"/>
    </xf>
    <xf numFmtId="9" fontId="19" fillId="12" borderId="59" xfId="0" applyNumberFormat="1" applyFont="1" applyFill="1" applyBorder="1" applyAlignment="1">
      <alignment horizontal="center" vertical="center" wrapText="1"/>
    </xf>
    <xf numFmtId="9" fontId="19" fillId="11" borderId="59" xfId="0" applyNumberFormat="1" applyFont="1" applyFill="1" applyBorder="1" applyAlignment="1">
      <alignment horizontal="center" vertical="center" wrapText="1"/>
    </xf>
    <xf numFmtId="6" fontId="19" fillId="12" borderId="59" xfId="0" applyNumberFormat="1" applyFont="1" applyFill="1" applyBorder="1" applyAlignment="1">
      <alignment horizontal="center" vertical="center" wrapText="1"/>
    </xf>
    <xf numFmtId="6" fontId="19" fillId="11" borderId="59" xfId="0" applyNumberFormat="1" applyFont="1" applyFill="1" applyBorder="1" applyAlignment="1">
      <alignment horizontal="center" vertical="center" wrapText="1"/>
    </xf>
    <xf numFmtId="0" fontId="23" fillId="5" borderId="57" xfId="0" applyFont="1" applyFill="1" applyBorder="1" applyAlignment="1">
      <alignment horizontal="center" vertical="center" wrapText="1"/>
    </xf>
    <xf numFmtId="0" fontId="19" fillId="12" borderId="59" xfId="0" applyFont="1" applyFill="1" applyBorder="1" applyAlignment="1">
      <alignment vertical="center" wrapText="1"/>
    </xf>
    <xf numFmtId="169" fontId="0" fillId="0" borderId="0" xfId="5" applyNumberFormat="1" applyFont="1" applyAlignment="1" applyProtection="1">
      <alignment vertical="center"/>
      <protection hidden="1"/>
    </xf>
    <xf numFmtId="0" fontId="2" fillId="3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169" fontId="0" fillId="0" borderId="0" xfId="5" applyNumberFormat="1" applyFont="1" applyFill="1" applyAlignment="1" applyProtection="1">
      <alignment vertical="center"/>
      <protection hidden="1"/>
    </xf>
    <xf numFmtId="0" fontId="0" fillId="0" borderId="0" xfId="0" applyNumberFormat="1"/>
    <xf numFmtId="169" fontId="0" fillId="0" borderId="43" xfId="0" applyNumberFormat="1" applyBorder="1"/>
    <xf numFmtId="0" fontId="9" fillId="10" borderId="43" xfId="0" applyFont="1" applyFill="1" applyBorder="1" applyAlignment="1">
      <alignment horizontal="center" vertical="center"/>
    </xf>
    <xf numFmtId="169" fontId="0" fillId="0" borderId="43" xfId="0" applyNumberFormat="1" applyBorder="1" applyAlignment="1">
      <alignment horizontal="center" vertical="center"/>
    </xf>
    <xf numFmtId="165" fontId="2" fillId="3" borderId="0" xfId="2" applyFont="1" applyFill="1" applyBorder="1" applyAlignment="1" applyProtection="1">
      <alignment horizontal="center" vertical="center"/>
      <protection hidden="1"/>
    </xf>
    <xf numFmtId="0" fontId="0" fillId="7" borderId="0" xfId="0" applyFill="1"/>
    <xf numFmtId="165" fontId="2" fillId="7" borderId="2" xfId="2" applyFont="1" applyFill="1" applyBorder="1" applyAlignment="1" applyProtection="1">
      <alignment horizontal="center" vertical="center"/>
      <protection hidden="1"/>
    </xf>
    <xf numFmtId="168" fontId="2" fillId="7" borderId="2" xfId="2" applyNumberFormat="1" applyFont="1" applyFill="1" applyBorder="1" applyAlignment="1" applyProtection="1">
      <alignment horizontal="center" vertical="center"/>
      <protection hidden="1"/>
    </xf>
    <xf numFmtId="0" fontId="2" fillId="7" borderId="0" xfId="1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9" fillId="0" borderId="0" xfId="0" applyFont="1"/>
    <xf numFmtId="169" fontId="0" fillId="13" borderId="0" xfId="5" applyNumberFormat="1" applyFont="1" applyFill="1" applyAlignment="1" applyProtection="1">
      <alignment vertical="center"/>
      <protection hidden="1"/>
    </xf>
    <xf numFmtId="0" fontId="27" fillId="0" borderId="0" xfId="0" applyFont="1"/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0" fontId="14" fillId="0" borderId="0" xfId="0" applyFont="1" applyFill="1" applyAlignment="1" applyProtection="1">
      <protection hidden="1"/>
    </xf>
    <xf numFmtId="0" fontId="15" fillId="0" borderId="0" xfId="0" applyFont="1" applyFill="1" applyProtection="1">
      <protection hidden="1"/>
    </xf>
    <xf numFmtId="0" fontId="14" fillId="0" borderId="0" xfId="0" applyFont="1" applyFill="1" applyAlignment="1" applyProtection="1">
      <alignment horizontal="center"/>
      <protection hidden="1"/>
    </xf>
    <xf numFmtId="1" fontId="14" fillId="0" borderId="0" xfId="0" applyNumberFormat="1" applyFont="1" applyFill="1" applyAlignment="1" applyProtection="1">
      <alignment horizontal="center"/>
      <protection hidden="1"/>
    </xf>
    <xf numFmtId="1" fontId="14" fillId="0" borderId="0" xfId="0" applyNumberFormat="1" applyFont="1" applyFill="1" applyAlignment="1" applyProtection="1">
      <alignment horizontal="left" vertical="center"/>
      <protection hidden="1"/>
    </xf>
    <xf numFmtId="0" fontId="14" fillId="0" borderId="0" xfId="0" applyFont="1" applyFill="1" applyProtection="1">
      <protection hidden="1"/>
    </xf>
    <xf numFmtId="169" fontId="14" fillId="0" borderId="0" xfId="0" applyNumberFormat="1" applyFont="1" applyFill="1" applyProtection="1">
      <protection hidden="1"/>
    </xf>
    <xf numFmtId="165" fontId="17" fillId="0" borderId="0" xfId="1" applyFont="1" applyFill="1" applyBorder="1" applyAlignment="1" applyProtection="1">
      <alignment horizontal="center"/>
      <protection hidden="1"/>
    </xf>
    <xf numFmtId="0" fontId="0" fillId="0" borderId="0" xfId="0" applyFill="1" applyAlignment="1">
      <alignment wrapText="1"/>
    </xf>
    <xf numFmtId="0" fontId="0" fillId="0" borderId="62" xfId="0" applyNumberFormat="1" applyFont="1" applyFill="1" applyBorder="1" applyAlignment="1" applyProtection="1">
      <alignment horizontal="right" vertical="center" wrapText="1"/>
      <protection hidden="1"/>
    </xf>
    <xf numFmtId="169" fontId="0" fillId="0" borderId="63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Font="1"/>
    <xf numFmtId="0" fontId="0" fillId="5" borderId="0" xfId="0" applyFont="1" applyFill="1" applyProtection="1">
      <protection hidden="1"/>
    </xf>
    <xf numFmtId="0" fontId="3" fillId="5" borderId="0" xfId="0" applyFont="1" applyFill="1" applyProtection="1">
      <protection hidden="1"/>
    </xf>
    <xf numFmtId="0" fontId="28" fillId="5" borderId="0" xfId="0" applyFont="1" applyFill="1" applyProtection="1">
      <protection hidden="1"/>
    </xf>
    <xf numFmtId="0" fontId="29" fillId="5" borderId="0" xfId="0" applyFont="1" applyFill="1" applyProtection="1">
      <protection hidden="1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169" fontId="0" fillId="0" borderId="0" xfId="0" applyNumberFormat="1" applyFill="1"/>
    <xf numFmtId="0" fontId="0" fillId="15" borderId="43" xfId="0" applyFill="1" applyBorder="1" applyAlignment="1">
      <alignment horizontal="left"/>
    </xf>
    <xf numFmtId="0" fontId="9" fillId="0" borderId="0" xfId="0" applyFont="1" applyFill="1" applyBorder="1"/>
    <xf numFmtId="14" fontId="0" fillId="0" borderId="0" xfId="0" applyNumberFormat="1" applyFont="1" applyFill="1"/>
    <xf numFmtId="165" fontId="18" fillId="16" borderId="56" xfId="2" applyFont="1" applyFill="1" applyBorder="1" applyAlignment="1" applyProtection="1">
      <protection hidden="1"/>
    </xf>
    <xf numFmtId="173" fontId="18" fillId="16" borderId="56" xfId="2" applyNumberFormat="1" applyFont="1" applyFill="1" applyBorder="1" applyAlignment="1" applyProtection="1">
      <protection hidden="1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169" fontId="0" fillId="0" borderId="9" xfId="0" applyNumberFormat="1" applyFill="1" applyBorder="1" applyAlignment="1" applyProtection="1">
      <alignment horizontal="left" vertical="center"/>
      <protection locked="0"/>
    </xf>
    <xf numFmtId="169" fontId="0" fillId="0" borderId="11" xfId="0" applyNumberFormat="1" applyFill="1" applyBorder="1" applyAlignment="1" applyProtection="1">
      <alignment horizontal="left" vertical="center"/>
      <protection locked="0"/>
    </xf>
    <xf numFmtId="169" fontId="0" fillId="0" borderId="9" xfId="0" applyNumberFormat="1" applyFill="1" applyBorder="1" applyAlignment="1" applyProtection="1">
      <alignment horizontal="left" vertical="center"/>
    </xf>
    <xf numFmtId="169" fontId="0" fillId="0" borderId="11" xfId="0" applyNumberFormat="1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  <protection locked="0"/>
    </xf>
    <xf numFmtId="9" fontId="9" fillId="0" borderId="0" xfId="5" applyFont="1" applyFill="1" applyBorder="1" applyAlignment="1" applyProtection="1">
      <alignment horizontal="center" vertical="center"/>
    </xf>
    <xf numFmtId="169" fontId="0" fillId="4" borderId="45" xfId="0" applyNumberFormat="1" applyFont="1" applyFill="1" applyBorder="1" applyAlignment="1" applyProtection="1">
      <alignment horizontal="center" vertical="center"/>
      <protection hidden="1"/>
    </xf>
    <xf numFmtId="169" fontId="0" fillId="4" borderId="67" xfId="0" applyNumberFormat="1" applyFont="1" applyFill="1" applyBorder="1" applyAlignment="1" applyProtection="1">
      <alignment horizontal="center" vertical="center"/>
      <protection hidden="1"/>
    </xf>
    <xf numFmtId="169" fontId="0" fillId="4" borderId="46" xfId="0" applyNumberFormat="1" applyFont="1" applyFill="1" applyBorder="1" applyAlignment="1" applyProtection="1">
      <alignment horizontal="center" vertical="center"/>
      <protection hidden="1"/>
    </xf>
    <xf numFmtId="0" fontId="10" fillId="6" borderId="31" xfId="0" applyFont="1" applyFill="1" applyBorder="1" applyAlignment="1" applyProtection="1">
      <alignment horizontal="center" vertical="center"/>
      <protection hidden="1"/>
    </xf>
    <xf numFmtId="0" fontId="10" fillId="6" borderId="39" xfId="0" applyFont="1" applyFill="1" applyBorder="1" applyAlignment="1" applyProtection="1">
      <alignment horizontal="center" vertical="center"/>
      <protection hidden="1"/>
    </xf>
    <xf numFmtId="0" fontId="10" fillId="6" borderId="29" xfId="0" applyFont="1" applyFill="1" applyBorder="1" applyAlignment="1" applyProtection="1">
      <alignment horizontal="center" vertical="center"/>
      <protection hidden="1"/>
    </xf>
    <xf numFmtId="0" fontId="11" fillId="4" borderId="13" xfId="0" applyFont="1" applyFill="1" applyBorder="1" applyAlignment="1" applyProtection="1">
      <alignment horizontal="left" vertical="center"/>
      <protection hidden="1"/>
    </xf>
    <xf numFmtId="0" fontId="11" fillId="4" borderId="14" xfId="0" applyFont="1" applyFill="1" applyBorder="1" applyAlignment="1" applyProtection="1">
      <alignment horizontal="left" vertical="center"/>
      <protection hidden="1"/>
    </xf>
    <xf numFmtId="0" fontId="11" fillId="4" borderId="15" xfId="0" applyFont="1" applyFill="1" applyBorder="1" applyAlignment="1" applyProtection="1">
      <alignment horizontal="left" vertical="center"/>
      <protection hidden="1"/>
    </xf>
    <xf numFmtId="9" fontId="11" fillId="4" borderId="32" xfId="5" applyFont="1" applyFill="1" applyBorder="1" applyAlignment="1" applyProtection="1">
      <alignment horizontal="center" vertical="center"/>
      <protection hidden="1"/>
    </xf>
    <xf numFmtId="9" fontId="11" fillId="4" borderId="38" xfId="5" applyFont="1" applyFill="1" applyBorder="1" applyAlignment="1" applyProtection="1">
      <alignment horizontal="center" vertical="center"/>
      <protection hidden="1"/>
    </xf>
    <xf numFmtId="0" fontId="11" fillId="4" borderId="16" xfId="0" applyFont="1" applyFill="1" applyBorder="1" applyAlignment="1" applyProtection="1">
      <alignment horizontal="left" vertical="center"/>
      <protection hidden="1"/>
    </xf>
    <xf numFmtId="0" fontId="11" fillId="4" borderId="17" xfId="0" applyFont="1" applyFill="1" applyBorder="1" applyAlignment="1" applyProtection="1">
      <alignment horizontal="left" vertical="center"/>
      <protection hidden="1"/>
    </xf>
    <xf numFmtId="0" fontId="11" fillId="4" borderId="18" xfId="0" applyFont="1" applyFill="1" applyBorder="1" applyAlignment="1" applyProtection="1">
      <alignment horizontal="left" vertical="center"/>
      <protection hidden="1"/>
    </xf>
    <xf numFmtId="9" fontId="11" fillId="4" borderId="33" xfId="5" applyFont="1" applyFill="1" applyBorder="1" applyAlignment="1" applyProtection="1">
      <alignment horizontal="center" vertical="center"/>
      <protection hidden="1"/>
    </xf>
    <xf numFmtId="9" fontId="11" fillId="4" borderId="37" xfId="5" applyFont="1" applyFill="1" applyBorder="1" applyAlignment="1" applyProtection="1">
      <alignment horizontal="center" vertical="center"/>
      <protection hidden="1"/>
    </xf>
    <xf numFmtId="169" fontId="0" fillId="0" borderId="0" xfId="0" applyNumberFormat="1" applyFill="1" applyBorder="1" applyAlignment="1">
      <alignment horizontal="left" vertical="center"/>
    </xf>
    <xf numFmtId="0" fontId="11" fillId="4" borderId="41" xfId="0" applyFont="1" applyFill="1" applyBorder="1" applyAlignment="1" applyProtection="1">
      <alignment horizontal="left" vertical="center"/>
      <protection hidden="1"/>
    </xf>
    <xf numFmtId="0" fontId="11" fillId="4" borderId="42" xfId="0" applyFont="1" applyFill="1" applyBorder="1" applyAlignment="1" applyProtection="1">
      <alignment horizontal="left" vertical="center"/>
      <protection hidden="1"/>
    </xf>
    <xf numFmtId="0" fontId="11" fillId="4" borderId="30" xfId="0" applyFont="1" applyFill="1" applyBorder="1" applyAlignment="1" applyProtection="1">
      <alignment horizontal="left" vertical="center"/>
      <protection hidden="1"/>
    </xf>
    <xf numFmtId="9" fontId="11" fillId="4" borderId="34" xfId="5" applyFont="1" applyFill="1" applyBorder="1" applyAlignment="1" applyProtection="1">
      <alignment horizontal="center" vertical="center"/>
      <protection hidden="1"/>
    </xf>
    <xf numFmtId="9" fontId="11" fillId="4" borderId="40" xfId="5" applyFont="1" applyFill="1" applyBorder="1" applyAlignment="1" applyProtection="1">
      <alignment horizontal="center" vertical="center"/>
      <protection hidden="1"/>
    </xf>
    <xf numFmtId="0" fontId="10" fillId="6" borderId="31" xfId="0" applyFont="1" applyFill="1" applyBorder="1" applyAlignment="1" applyProtection="1">
      <alignment horizontal="left" vertical="center"/>
      <protection hidden="1"/>
    </xf>
    <xf numFmtId="0" fontId="10" fillId="6" borderId="39" xfId="0" applyFont="1" applyFill="1" applyBorder="1" applyAlignment="1" applyProtection="1">
      <alignment horizontal="left" vertical="center"/>
      <protection hidden="1"/>
    </xf>
    <xf numFmtId="0" fontId="10" fillId="6" borderId="29" xfId="0" applyFont="1" applyFill="1" applyBorder="1" applyAlignment="1" applyProtection="1">
      <alignment horizontal="left" vertical="center"/>
      <protection hidden="1"/>
    </xf>
    <xf numFmtId="9" fontId="11" fillId="6" borderId="31" xfId="5" applyFont="1" applyFill="1" applyBorder="1" applyAlignment="1" applyProtection="1">
      <alignment horizontal="center" vertical="center"/>
      <protection hidden="1"/>
    </xf>
    <xf numFmtId="9" fontId="11" fillId="6" borderId="29" xfId="5" applyFont="1" applyFill="1" applyBorder="1" applyAlignment="1" applyProtection="1">
      <alignment horizontal="center" vertical="center"/>
      <protection hidden="1"/>
    </xf>
    <xf numFmtId="0" fontId="11" fillId="4" borderId="19" xfId="0" applyFont="1" applyFill="1" applyBorder="1" applyAlignment="1" applyProtection="1">
      <alignment horizontal="left" vertical="center" wrapText="1"/>
      <protection hidden="1"/>
    </xf>
    <xf numFmtId="0" fontId="11" fillId="4" borderId="20" xfId="0" applyFont="1" applyFill="1" applyBorder="1" applyAlignment="1" applyProtection="1">
      <alignment horizontal="left" vertical="center" wrapText="1"/>
      <protection hidden="1"/>
    </xf>
    <xf numFmtId="0" fontId="11" fillId="4" borderId="21" xfId="0" applyFont="1" applyFill="1" applyBorder="1" applyAlignment="1" applyProtection="1">
      <alignment horizontal="left" vertical="center" wrapText="1"/>
      <protection hidden="1"/>
    </xf>
    <xf numFmtId="0" fontId="11" fillId="4" borderId="22" xfId="0" applyFont="1" applyFill="1" applyBorder="1" applyAlignment="1" applyProtection="1">
      <alignment horizontal="left" vertical="center" wrapText="1"/>
      <protection hidden="1"/>
    </xf>
    <xf numFmtId="0" fontId="11" fillId="4" borderId="23" xfId="0" applyFont="1" applyFill="1" applyBorder="1" applyAlignment="1" applyProtection="1">
      <alignment horizontal="left" vertical="center" wrapText="1"/>
      <protection hidden="1"/>
    </xf>
    <xf numFmtId="0" fontId="11" fillId="4" borderId="24" xfId="0" applyFont="1" applyFill="1" applyBorder="1" applyAlignment="1" applyProtection="1">
      <alignment horizontal="left" vertical="center" wrapText="1"/>
      <protection hidden="1"/>
    </xf>
    <xf numFmtId="9" fontId="11" fillId="4" borderId="25" xfId="5" applyFont="1" applyFill="1" applyBorder="1" applyAlignment="1" applyProtection="1">
      <alignment horizontal="center" vertical="center"/>
      <protection hidden="1"/>
    </xf>
    <xf numFmtId="9" fontId="11" fillId="4" borderId="26" xfId="5" applyFont="1" applyFill="1" applyBorder="1" applyAlignment="1" applyProtection="1">
      <alignment horizontal="center" vertical="center"/>
      <protection hidden="1"/>
    </xf>
    <xf numFmtId="9" fontId="11" fillId="4" borderId="27" xfId="5" applyFont="1" applyFill="1" applyBorder="1" applyAlignment="1" applyProtection="1">
      <alignment horizontal="center" vertical="center"/>
      <protection hidden="1"/>
    </xf>
    <xf numFmtId="9" fontId="11" fillId="4" borderId="28" xfId="5" applyFont="1" applyFill="1" applyBorder="1" applyAlignment="1" applyProtection="1">
      <alignment horizontal="center" vertical="center"/>
      <protection hidden="1"/>
    </xf>
    <xf numFmtId="0" fontId="0" fillId="4" borderId="43" xfId="0" applyFont="1" applyFill="1" applyBorder="1" applyAlignment="1" applyProtection="1">
      <alignment horizontal="left" vertical="center"/>
      <protection hidden="1"/>
    </xf>
    <xf numFmtId="9" fontId="0" fillId="4" borderId="43" xfId="5" applyFont="1" applyFill="1" applyBorder="1" applyAlignment="1" applyProtection="1">
      <alignment horizontal="center" vertical="center"/>
      <protection hidden="1"/>
    </xf>
    <xf numFmtId="169" fontId="0" fillId="4" borderId="43" xfId="0" applyNumberFormat="1" applyFont="1" applyFill="1" applyBorder="1" applyAlignment="1" applyProtection="1">
      <alignment horizontal="center" vertical="center"/>
      <protection hidden="1"/>
    </xf>
    <xf numFmtId="170" fontId="0" fillId="4" borderId="43" xfId="0" applyNumberFormat="1" applyFont="1" applyFill="1" applyBorder="1" applyAlignment="1" applyProtection="1">
      <alignment horizontal="center" vertical="center"/>
      <protection hidden="1"/>
    </xf>
    <xf numFmtId="9" fontId="11" fillId="4" borderId="43" xfId="5" applyFont="1" applyFill="1" applyBorder="1" applyAlignment="1" applyProtection="1">
      <alignment horizontal="center" vertical="center" wrapText="1"/>
      <protection hidden="1"/>
    </xf>
    <xf numFmtId="0" fontId="3" fillId="6" borderId="44" xfId="0" applyFont="1" applyFill="1" applyBorder="1" applyAlignment="1" applyProtection="1">
      <alignment horizontal="center" vertical="center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0" fillId="4" borderId="47" xfId="0" applyFont="1" applyFill="1" applyBorder="1" applyAlignment="1" applyProtection="1">
      <alignment horizontal="left" vertical="center"/>
      <protection hidden="1"/>
    </xf>
    <xf numFmtId="0" fontId="0" fillId="4" borderId="48" xfId="0" applyFont="1" applyFill="1" applyBorder="1" applyAlignment="1" applyProtection="1">
      <alignment horizontal="left" vertical="center"/>
      <protection hidden="1"/>
    </xf>
    <xf numFmtId="0" fontId="0" fillId="4" borderId="49" xfId="0" applyFont="1" applyFill="1" applyBorder="1" applyAlignment="1" applyProtection="1">
      <alignment horizontal="left" vertical="center"/>
      <protection hidden="1"/>
    </xf>
    <xf numFmtId="169" fontId="0" fillId="4" borderId="35" xfId="0" applyNumberFormat="1" applyFont="1" applyFill="1" applyBorder="1" applyAlignment="1" applyProtection="1">
      <alignment horizontal="center" vertical="center"/>
      <protection hidden="1"/>
    </xf>
    <xf numFmtId="169" fontId="0" fillId="4" borderId="36" xfId="0" applyNumberFormat="1" applyFont="1" applyFill="1" applyBorder="1" applyAlignment="1" applyProtection="1">
      <alignment horizontal="center" vertical="center"/>
      <protection hidden="1"/>
    </xf>
    <xf numFmtId="0" fontId="0" fillId="4" borderId="43" xfId="0" applyNumberFormat="1" applyFont="1" applyFill="1" applyBorder="1" applyAlignment="1" applyProtection="1">
      <alignment horizontal="center" vertical="center"/>
      <protection hidden="1"/>
    </xf>
    <xf numFmtId="0" fontId="0" fillId="4" borderId="43" xfId="0" applyFont="1" applyFill="1" applyBorder="1" applyAlignment="1" applyProtection="1">
      <alignment horizontal="left" vertical="center" wrapText="1"/>
      <protection hidden="1"/>
    </xf>
    <xf numFmtId="0" fontId="0" fillId="4" borderId="43" xfId="0" applyFont="1" applyFill="1" applyBorder="1" applyAlignment="1" applyProtection="1">
      <alignment vertical="center" wrapText="1"/>
      <protection hidden="1"/>
    </xf>
    <xf numFmtId="0" fontId="12" fillId="4" borderId="43" xfId="0" applyFont="1" applyFill="1" applyBorder="1" applyAlignment="1" applyProtection="1">
      <alignment vertical="center" wrapText="1"/>
      <protection hidden="1"/>
    </xf>
    <xf numFmtId="0" fontId="30" fillId="0" borderId="0" xfId="0" applyFont="1" applyBorder="1" applyAlignment="1">
      <alignment horizontal="left" vertical="top"/>
    </xf>
    <xf numFmtId="0" fontId="0" fillId="4" borderId="43" xfId="0" applyFont="1" applyFill="1" applyBorder="1" applyAlignment="1" applyProtection="1">
      <alignment vertical="center"/>
      <protection hidden="1"/>
    </xf>
    <xf numFmtId="0" fontId="12" fillId="4" borderId="43" xfId="0" applyFont="1" applyFill="1" applyBorder="1" applyAlignment="1" applyProtection="1">
      <alignment vertical="center"/>
      <protection hidden="1"/>
    </xf>
    <xf numFmtId="169" fontId="0" fillId="4" borderId="52" xfId="0" applyNumberFormat="1" applyFont="1" applyFill="1" applyBorder="1" applyAlignment="1" applyProtection="1">
      <alignment horizontal="center" vertical="center"/>
      <protection hidden="1"/>
    </xf>
    <xf numFmtId="169" fontId="0" fillId="4" borderId="53" xfId="0" applyNumberFormat="1" applyFont="1" applyFill="1" applyBorder="1" applyAlignment="1" applyProtection="1">
      <alignment horizontal="center" vertical="center"/>
      <protection hidden="1"/>
    </xf>
    <xf numFmtId="169" fontId="0" fillId="4" borderId="54" xfId="0" applyNumberFormat="1" applyFont="1" applyFill="1" applyBorder="1" applyAlignment="1" applyProtection="1">
      <alignment horizontal="center" vertical="center"/>
      <protection hidden="1"/>
    </xf>
    <xf numFmtId="169" fontId="0" fillId="4" borderId="50" xfId="0" applyNumberFormat="1" applyFont="1" applyFill="1" applyBorder="1" applyAlignment="1" applyProtection="1">
      <alignment horizontal="center" vertical="center"/>
      <protection hidden="1"/>
    </xf>
    <xf numFmtId="169" fontId="0" fillId="4" borderId="51" xfId="0" applyNumberFormat="1" applyFont="1" applyFill="1" applyBorder="1" applyAlignment="1" applyProtection="1">
      <alignment horizontal="center" vertical="center"/>
      <protection hidden="1"/>
    </xf>
    <xf numFmtId="169" fontId="0" fillId="4" borderId="55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left"/>
      <protection locked="0"/>
    </xf>
    <xf numFmtId="171" fontId="0" fillId="0" borderId="0" xfId="0" applyNumberFormat="1" applyAlignment="1">
      <alignment horizontal="left"/>
    </xf>
    <xf numFmtId="0" fontId="0" fillId="0" borderId="4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/>
    </xf>
    <xf numFmtId="169" fontId="0" fillId="0" borderId="45" xfId="0" applyNumberFormat="1" applyBorder="1" applyAlignment="1">
      <alignment horizontal="left" vertical="center"/>
    </xf>
    <xf numFmtId="169" fontId="0" fillId="0" borderId="46" xfId="0" applyNumberForma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9" fontId="0" fillId="0" borderId="45" xfId="5" applyFont="1" applyBorder="1" applyAlignment="1">
      <alignment horizontal="left" vertical="center"/>
    </xf>
    <xf numFmtId="9" fontId="0" fillId="0" borderId="46" xfId="5" applyFont="1" applyBorder="1" applyAlignment="1">
      <alignment horizontal="left" vertical="center"/>
    </xf>
    <xf numFmtId="0" fontId="31" fillId="5" borderId="0" xfId="0" applyFont="1" applyFill="1" applyAlignment="1" applyProtection="1">
      <alignment vertical="top" wrapText="1"/>
      <protection hidden="1"/>
    </xf>
    <xf numFmtId="9" fontId="0" fillId="0" borderId="45" xfId="0" applyNumberFormat="1" applyBorder="1" applyAlignment="1">
      <alignment horizontal="left" vertical="center"/>
    </xf>
    <xf numFmtId="9" fontId="0" fillId="0" borderId="46" xfId="0" applyNumberFormat="1" applyBorder="1" applyAlignment="1">
      <alignment horizontal="left" vertical="center"/>
    </xf>
    <xf numFmtId="172" fontId="0" fillId="0" borderId="45" xfId="0" applyNumberFormat="1" applyBorder="1" applyAlignment="1">
      <alignment horizontal="left" vertical="center"/>
    </xf>
    <xf numFmtId="172" fontId="0" fillId="0" borderId="46" xfId="0" applyNumberFormat="1" applyBorder="1" applyAlignment="1">
      <alignment horizontal="left" vertical="center"/>
    </xf>
    <xf numFmtId="0" fontId="0" fillId="0" borderId="43" xfId="0" applyBorder="1" applyAlignment="1">
      <alignment horizontal="left" wrapText="1"/>
    </xf>
    <xf numFmtId="0" fontId="0" fillId="7" borderId="43" xfId="0" applyFill="1" applyBorder="1" applyAlignment="1">
      <alignment horizontal="center" vertical="center"/>
    </xf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9" fontId="0" fillId="0" borderId="43" xfId="0" applyNumberFormat="1" applyBorder="1" applyAlignment="1">
      <alignment horizontal="left" vertical="center" wrapText="1"/>
    </xf>
    <xf numFmtId="0" fontId="0" fillId="15" borderId="43" xfId="0" applyFill="1" applyBorder="1" applyAlignment="1">
      <alignment horizontal="left" wrapText="1"/>
    </xf>
    <xf numFmtId="0" fontId="0" fillId="0" borderId="43" xfId="0" applyBorder="1" applyAlignment="1">
      <alignment horizontal="left"/>
    </xf>
    <xf numFmtId="0" fontId="0" fillId="0" borderId="0" xfId="0" applyAlignment="1">
      <alignment horizontal="center"/>
    </xf>
    <xf numFmtId="0" fontId="0" fillId="15" borderId="45" xfId="0" applyFill="1" applyBorder="1" applyAlignment="1">
      <alignment horizontal="left" vertical="center"/>
    </xf>
    <xf numFmtId="0" fontId="0" fillId="15" borderId="46" xfId="0" applyFill="1" applyBorder="1" applyAlignment="1">
      <alignment horizontal="left" vertical="center"/>
    </xf>
    <xf numFmtId="0" fontId="0" fillId="0" borderId="45" xfId="0" applyBorder="1" applyAlignment="1">
      <alignment horizontal="left" wrapText="1"/>
    </xf>
    <xf numFmtId="0" fontId="0" fillId="0" borderId="46" xfId="0" applyBorder="1" applyAlignment="1">
      <alignment horizontal="left" wrapText="1"/>
    </xf>
    <xf numFmtId="0" fontId="0" fillId="0" borderId="0" xfId="0" applyFont="1" applyBorder="1" applyAlignment="1">
      <alignment horizontal="center"/>
    </xf>
    <xf numFmtId="9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32" fillId="16" borderId="43" xfId="0" applyFont="1" applyFill="1" applyBorder="1" applyAlignment="1">
      <alignment horizontal="center"/>
    </xf>
    <xf numFmtId="9" fontId="32" fillId="16" borderId="43" xfId="0" applyNumberFormat="1" applyFont="1" applyFill="1" applyBorder="1" applyAlignment="1">
      <alignment horizontal="center"/>
    </xf>
    <xf numFmtId="169" fontId="0" fillId="0" borderId="56" xfId="0" applyNumberFormat="1" applyFont="1" applyFill="1" applyBorder="1" applyAlignment="1" applyProtection="1">
      <alignment horizontal="center" vertical="center" wrapText="1"/>
      <protection hidden="1"/>
    </xf>
    <xf numFmtId="169" fontId="0" fillId="0" borderId="64" xfId="5" applyNumberFormat="1" applyFont="1" applyFill="1" applyBorder="1" applyAlignment="1" applyProtection="1">
      <alignment horizontal="center" vertical="center" wrapText="1"/>
      <protection hidden="1"/>
    </xf>
    <xf numFmtId="9" fontId="0" fillId="7" borderId="66" xfId="5" applyFont="1" applyFill="1" applyBorder="1" applyAlignment="1" applyProtection="1">
      <alignment horizontal="center" vertical="center" wrapText="1"/>
      <protection hidden="1"/>
    </xf>
    <xf numFmtId="9" fontId="0" fillId="7" borderId="63" xfId="5" applyFont="1" applyFill="1" applyBorder="1" applyAlignment="1" applyProtection="1">
      <alignment horizontal="center" vertical="center" wrapText="1"/>
      <protection hidden="1"/>
    </xf>
    <xf numFmtId="9" fontId="0" fillId="0" borderId="65" xfId="5" applyFont="1" applyFill="1" applyBorder="1" applyAlignment="1" applyProtection="1">
      <alignment horizontal="center" vertical="center" wrapText="1"/>
      <protection hidden="1"/>
    </xf>
    <xf numFmtId="169" fontId="0" fillId="0" borderId="56" xfId="5" applyNumberFormat="1" applyFont="1" applyFill="1" applyBorder="1" applyAlignment="1" applyProtection="1">
      <alignment horizontal="center" vertical="center" wrapText="1"/>
      <protection hidden="1"/>
    </xf>
    <xf numFmtId="9" fontId="0" fillId="0" borderId="56" xfId="5" applyFont="1" applyFill="1" applyBorder="1" applyAlignment="1" applyProtection="1">
      <alignment horizontal="center" vertical="center" wrapText="1"/>
      <protection hidden="1"/>
    </xf>
    <xf numFmtId="174" fontId="0" fillId="0" borderId="56" xfId="5" applyNumberFormat="1" applyFont="1" applyFill="1" applyBorder="1" applyAlignment="1" applyProtection="1">
      <alignment horizontal="center" vertical="center" wrapText="1"/>
      <protection hidden="1"/>
    </xf>
    <xf numFmtId="9" fontId="0" fillId="0" borderId="64" xfId="5" applyFont="1" applyFill="1" applyBorder="1" applyAlignment="1" applyProtection="1">
      <alignment horizontal="center" vertical="center" wrapText="1"/>
      <protection hidden="1"/>
    </xf>
    <xf numFmtId="169" fontId="0" fillId="0" borderId="65" xfId="5" applyNumberFormat="1" applyFont="1" applyFill="1" applyBorder="1" applyAlignment="1" applyProtection="1">
      <alignment horizontal="center" vertical="center" wrapText="1"/>
      <protection hidden="1"/>
    </xf>
    <xf numFmtId="169" fontId="0" fillId="0" borderId="62" xfId="0" applyNumberFormat="1" applyFont="1" applyFill="1" applyBorder="1" applyAlignment="1" applyProtection="1">
      <alignment horizontal="center" vertical="center" wrapText="1"/>
      <protection hidden="1"/>
    </xf>
    <xf numFmtId="169" fontId="0" fillId="0" borderId="63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Alignment="1" applyProtection="1">
      <alignment horizontal="left"/>
      <protection hidden="1"/>
    </xf>
    <xf numFmtId="0" fontId="18" fillId="7" borderId="0" xfId="0" applyFont="1" applyFill="1" applyBorder="1" applyAlignment="1" applyProtection="1">
      <alignment horizontal="center"/>
      <protection hidden="1"/>
    </xf>
    <xf numFmtId="0" fontId="26" fillId="0" borderId="0" xfId="0" applyFont="1" applyFill="1" applyAlignment="1" applyProtection="1">
      <alignment horizontal="left"/>
      <protection hidden="1"/>
    </xf>
    <xf numFmtId="1" fontId="14" fillId="4" borderId="0" xfId="0" applyNumberFormat="1" applyFont="1" applyFill="1" applyAlignment="1" applyProtection="1">
      <alignment horizontal="center"/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8" fillId="14" borderId="0" xfId="0" applyFont="1" applyFill="1" applyBorder="1" applyAlignment="1" applyProtection="1">
      <alignment horizontal="center"/>
      <protection hidden="1"/>
    </xf>
    <xf numFmtId="169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3" fillId="6" borderId="56" xfId="0" applyFont="1" applyFill="1" applyBorder="1" applyAlignment="1" applyProtection="1">
      <alignment horizontal="center" vertical="center" wrapText="1"/>
      <protection hidden="1"/>
    </xf>
    <xf numFmtId="0" fontId="0" fillId="0" borderId="56" xfId="0" applyFont="1" applyFill="1" applyBorder="1" applyAlignment="1" applyProtection="1">
      <alignment horizontal="left" vertical="center" wrapText="1"/>
      <protection hidden="1"/>
    </xf>
    <xf numFmtId="0" fontId="0" fillId="0" borderId="62" xfId="0" applyFont="1" applyFill="1" applyBorder="1" applyAlignment="1" applyProtection="1">
      <alignment horizontal="left" vertical="center" wrapText="1"/>
      <protection hidden="1"/>
    </xf>
    <xf numFmtId="169" fontId="0" fillId="0" borderId="64" xfId="0" applyNumberFormat="1" applyFont="1" applyFill="1" applyBorder="1" applyAlignment="1" applyProtection="1">
      <alignment horizontal="center" vertical="center" wrapText="1"/>
      <protection hidden="1"/>
    </xf>
    <xf numFmtId="169" fontId="0" fillId="0" borderId="65" xfId="0" applyNumberFormat="1" applyFont="1" applyFill="1" applyBorder="1" applyAlignment="1" applyProtection="1">
      <alignment horizontal="center" vertical="center" wrapText="1"/>
      <protection hidden="1"/>
    </xf>
    <xf numFmtId="175" fontId="0" fillId="0" borderId="0" xfId="0" applyNumberFormat="1" applyFill="1" applyAlignment="1">
      <alignment horizontal="left"/>
    </xf>
    <xf numFmtId="0" fontId="0" fillId="0" borderId="65" xfId="0" applyFont="1" applyFill="1" applyBorder="1" applyAlignment="1" applyProtection="1">
      <alignment horizontal="left" vertical="center" wrapText="1"/>
      <protection hidden="1"/>
    </xf>
    <xf numFmtId="0" fontId="0" fillId="0" borderId="64" xfId="0" applyFont="1" applyFill="1" applyBorder="1" applyAlignment="1" applyProtection="1">
      <alignment horizontal="left" vertical="center" wrapText="1"/>
      <protection hidden="1"/>
    </xf>
    <xf numFmtId="0" fontId="0" fillId="7" borderId="62" xfId="0" applyFont="1" applyFill="1" applyBorder="1" applyAlignment="1" applyProtection="1">
      <alignment horizontal="left" vertical="center" wrapText="1"/>
      <protection hidden="1"/>
    </xf>
    <xf numFmtId="0" fontId="0" fillId="7" borderId="66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5" fontId="2" fillId="3" borderId="3" xfId="2" applyFont="1" applyFill="1" applyBorder="1" applyAlignment="1" applyProtection="1">
      <alignment horizontal="center" vertical="center" wrapText="1"/>
      <protection hidden="1"/>
    </xf>
    <xf numFmtId="165" fontId="2" fillId="3" borderId="4" xfId="2" applyFont="1" applyFill="1" applyBorder="1" applyAlignment="1" applyProtection="1">
      <alignment horizontal="center" vertical="center" wrapText="1"/>
      <protection hidden="1"/>
    </xf>
    <xf numFmtId="165" fontId="8" fillId="0" borderId="1" xfId="1" applyFont="1" applyFill="1" applyBorder="1" applyAlignment="1" applyProtection="1">
      <alignment horizontal="center" vertical="center"/>
      <protection hidden="1"/>
    </xf>
    <xf numFmtId="0" fontId="0" fillId="8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0" fillId="5" borderId="57" xfId="0" applyFont="1" applyFill="1" applyBorder="1" applyAlignment="1">
      <alignment horizontal="center" vertical="center" wrapText="1"/>
    </xf>
    <xf numFmtId="0" fontId="21" fillId="5" borderId="5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3" fillId="5" borderId="57" xfId="0" applyFont="1" applyFill="1" applyBorder="1" applyAlignment="1">
      <alignment horizontal="center" vertical="center" wrapText="1"/>
    </xf>
  </cellXfs>
  <cellStyles count="6">
    <cellStyle name="Comma 2" xfId="3" xr:uid="{00000000-0005-0000-0000-000000000000}"/>
    <cellStyle name="Currency 2" xfId="2" xr:uid="{00000000-0005-0000-0000-000001000000}"/>
    <cellStyle name="Millares" xfId="4" builtinId="3"/>
    <cellStyle name="Moneda" xfId="1" builtinId="4"/>
    <cellStyle name="Normal" xfId="0" builtinId="0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mparativo!A1"/><Relationship Id="rId1" Type="http://schemas.openxmlformats.org/officeDocument/2006/relationships/hyperlink" Target="#Cotizaci&#243;n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hyperlink" Target="#'Ingreso de Datos'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Ingreso de Datos'!A1"/><Relationship Id="rId1" Type="http://schemas.openxmlformats.org/officeDocument/2006/relationships/image" Target="../media/image4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172357</xdr:colOff>
      <xdr:row>14</xdr:row>
      <xdr:rowOff>190499</xdr:rowOff>
    </xdr:from>
    <xdr:to>
      <xdr:col>11</xdr:col>
      <xdr:colOff>381000</xdr:colOff>
      <xdr:row>17</xdr:row>
      <xdr:rowOff>126999</xdr:rowOff>
    </xdr:to>
    <xdr:sp macro="" textlink="">
      <xdr:nvSpPr>
        <xdr:cNvPr id="5" name="COTIZ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84571" y="2812142"/>
          <a:ext cx="1868715" cy="508000"/>
        </a:xfrm>
        <a:prstGeom prst="round2DiagRect">
          <a:avLst/>
        </a:prstGeom>
        <a:solidFill>
          <a:srgbClr val="FFC000"/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400">
              <a:solidFill>
                <a:schemeClr val="bg2">
                  <a:lumMod val="25000"/>
                </a:schemeClr>
              </a:solidFill>
            </a:rPr>
            <a:t>COTIZACIÓN </a:t>
          </a:r>
        </a:p>
      </xdr:txBody>
    </xdr:sp>
    <xdr:clientData/>
  </xdr:twoCellAnchor>
  <xdr:twoCellAnchor>
    <xdr:from>
      <xdr:col>16</xdr:col>
      <xdr:colOff>70757</xdr:colOff>
      <xdr:row>14</xdr:row>
      <xdr:rowOff>179614</xdr:rowOff>
    </xdr:from>
    <xdr:to>
      <xdr:col>18</xdr:col>
      <xdr:colOff>415472</xdr:colOff>
      <xdr:row>17</xdr:row>
      <xdr:rowOff>116114</xdr:rowOff>
    </xdr:to>
    <xdr:sp macro="" textlink="">
      <xdr:nvSpPr>
        <xdr:cNvPr id="6" name="COMPAR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248900" y="2801257"/>
          <a:ext cx="1868715" cy="508000"/>
        </a:xfrm>
        <a:prstGeom prst="round2DiagRect">
          <a:avLst/>
        </a:prstGeom>
        <a:solidFill>
          <a:srgbClr val="FFC000"/>
        </a:solidFill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400">
              <a:solidFill>
                <a:schemeClr val="bg2">
                  <a:lumMod val="25000"/>
                </a:schemeClr>
              </a:solidFill>
            </a:rPr>
            <a:t>COMPARATIVO</a:t>
          </a:r>
        </a:p>
      </xdr:txBody>
    </xdr:sp>
    <xdr:clientData/>
  </xdr:twoCellAnchor>
  <xdr:twoCellAnchor editAs="oneCell">
    <xdr:from>
      <xdr:col>1</xdr:col>
      <xdr:colOff>44823</xdr:colOff>
      <xdr:row>1</xdr:row>
      <xdr:rowOff>179294</xdr:rowOff>
    </xdr:from>
    <xdr:to>
      <xdr:col>4</xdr:col>
      <xdr:colOff>500511</xdr:colOff>
      <xdr:row>4</xdr:row>
      <xdr:rowOff>168088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6A94F0E-4D23-47EC-90DA-B51B8E6CF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369794"/>
          <a:ext cx="3290776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549088</xdr:colOff>
      <xdr:row>2</xdr:row>
      <xdr:rowOff>22412</xdr:rowOff>
    </xdr:from>
    <xdr:to>
      <xdr:col>18</xdr:col>
      <xdr:colOff>134471</xdr:colOff>
      <xdr:row>5</xdr:row>
      <xdr:rowOff>97956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3E90883-251E-40D5-B5A2-339ADB481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27559" y="403412"/>
          <a:ext cx="1748118" cy="647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219363</xdr:colOff>
      <xdr:row>1</xdr:row>
      <xdr:rowOff>173182</xdr:rowOff>
    </xdr:from>
    <xdr:to>
      <xdr:col>12</xdr:col>
      <xdr:colOff>564078</xdr:colOff>
      <xdr:row>4</xdr:row>
      <xdr:rowOff>127000</xdr:rowOff>
    </xdr:to>
    <xdr:sp macro="" textlink="">
      <xdr:nvSpPr>
        <xdr:cNvPr id="3" name="Redondear rectángulo de esquina diagon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647545" y="357909"/>
          <a:ext cx="1868715" cy="508000"/>
        </a:xfrm>
        <a:prstGeom prst="round2DiagRect">
          <a:avLst/>
        </a:prstGeom>
        <a:solidFill>
          <a:srgbClr val="FFC000"/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400" b="1">
              <a:solidFill>
                <a:schemeClr val="bg2">
                  <a:lumMod val="25000"/>
                </a:schemeClr>
              </a:solidFill>
            </a:rPr>
            <a:t>REGRESAR </a:t>
          </a:r>
        </a:p>
      </xdr:txBody>
    </xdr:sp>
    <xdr:clientData/>
  </xdr:twoCellAnchor>
  <xdr:twoCellAnchor editAs="oneCell">
    <xdr:from>
      <xdr:col>1</xdr:col>
      <xdr:colOff>556612</xdr:colOff>
      <xdr:row>114</xdr:row>
      <xdr:rowOff>142287</xdr:rowOff>
    </xdr:from>
    <xdr:to>
      <xdr:col>4</xdr:col>
      <xdr:colOff>177512</xdr:colOff>
      <xdr:row>117</xdr:row>
      <xdr:rowOff>95753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067" y="24699469"/>
          <a:ext cx="4573900" cy="507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224117</xdr:colOff>
      <xdr:row>1</xdr:row>
      <xdr:rowOff>33619</xdr:rowOff>
    </xdr:from>
    <xdr:to>
      <xdr:col>2</xdr:col>
      <xdr:colOff>1519517</xdr:colOff>
      <xdr:row>3</xdr:row>
      <xdr:rowOff>147919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DB5D16D-AE49-4225-B5AC-00D6CAEF4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224119"/>
          <a:ext cx="2909047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414617</xdr:colOff>
      <xdr:row>0</xdr:row>
      <xdr:rowOff>154872</xdr:rowOff>
    </xdr:from>
    <xdr:to>
      <xdr:col>8</xdr:col>
      <xdr:colOff>33617</xdr:colOff>
      <xdr:row>4</xdr:row>
      <xdr:rowOff>39916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C518B75-071D-4FEA-B5BE-906CCC287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67617" y="154872"/>
          <a:ext cx="1748118" cy="6470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752186</xdr:colOff>
      <xdr:row>83</xdr:row>
      <xdr:rowOff>187037</xdr:rowOff>
    </xdr:from>
    <xdr:to>
      <xdr:col>6</xdr:col>
      <xdr:colOff>1021005</xdr:colOff>
      <xdr:row>86</xdr:row>
      <xdr:rowOff>98070</xdr:rowOff>
    </xdr:to>
    <xdr:pic>
      <xdr:nvPicPr>
        <xdr:cNvPr id="4" name="Imagen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822" y="20911128"/>
          <a:ext cx="4223138" cy="499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312690</xdr:colOff>
      <xdr:row>1</xdr:row>
      <xdr:rowOff>44259</xdr:rowOff>
    </xdr:from>
    <xdr:to>
      <xdr:col>11</xdr:col>
      <xdr:colOff>657405</xdr:colOff>
      <xdr:row>4</xdr:row>
      <xdr:rowOff>2887</xdr:rowOff>
    </xdr:to>
    <xdr:sp macro="" textlink="">
      <xdr:nvSpPr>
        <xdr:cNvPr id="5" name="Redondear rectángulo de esquina diagon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18440" y="224176"/>
          <a:ext cx="1868715" cy="498378"/>
        </a:xfrm>
        <a:prstGeom prst="round2DiagRect">
          <a:avLst/>
        </a:prstGeom>
        <a:solidFill>
          <a:srgbClr val="FFC000"/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400" b="1">
              <a:solidFill>
                <a:schemeClr val="bg2">
                  <a:lumMod val="25000"/>
                </a:schemeClr>
              </a:solidFill>
            </a:rPr>
            <a:t>REGRESAR </a:t>
          </a:r>
        </a:p>
      </xdr:txBody>
    </xdr:sp>
    <xdr:clientData/>
  </xdr:twoCellAnchor>
  <xdr:twoCellAnchor editAs="oneCell">
    <xdr:from>
      <xdr:col>0</xdr:col>
      <xdr:colOff>272142</xdr:colOff>
      <xdr:row>0</xdr:row>
      <xdr:rowOff>122464</xdr:rowOff>
    </xdr:from>
    <xdr:to>
      <xdr:col>4</xdr:col>
      <xdr:colOff>596561</xdr:colOff>
      <xdr:row>3</xdr:row>
      <xdr:rowOff>111258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99A8D06-6A39-49A7-B877-3AD47AFBD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2" y="122464"/>
          <a:ext cx="3290776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54429</xdr:colOff>
      <xdr:row>0</xdr:row>
      <xdr:rowOff>108858</xdr:rowOff>
    </xdr:from>
    <xdr:to>
      <xdr:col>8</xdr:col>
      <xdr:colOff>890869</xdr:colOff>
      <xdr:row>3</xdr:row>
      <xdr:rowOff>184402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2D6091B-2AF0-42E0-A489-4DB03006D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41572" y="108858"/>
          <a:ext cx="1748118" cy="6470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trid.lopez/Desktop/BACKUP%20Lorena%20Siliezar/Documents/Health%20One/Health%20One%202018/TARIFA%20Y%20NOTA%20T&#201;CNICA/Cotizador%20H1%20-%20BAM%20(V7)%20con%20Traslado%20de%20Preexist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 Datos"/>
      <sheetName val="Cotización"/>
      <sheetName val="Comparativo"/>
      <sheetName val="Solicitud"/>
      <sheetName val="Tarifas y Calculos"/>
      <sheetName val="Benefici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BAM 1.">
      <a:dk1>
        <a:srgbClr val="262626"/>
      </a:dk1>
      <a:lt1>
        <a:sysClr val="window" lastClr="FFFFFF"/>
      </a:lt1>
      <a:dk2>
        <a:srgbClr val="595959"/>
      </a:dk2>
      <a:lt2>
        <a:srgbClr val="E7E6E6"/>
      </a:lt2>
      <a:accent1>
        <a:srgbClr val="C00000"/>
      </a:accent1>
      <a:accent2>
        <a:srgbClr val="B00000"/>
      </a:accent2>
      <a:accent3>
        <a:srgbClr val="A5A5A5"/>
      </a:accent3>
      <a:accent4>
        <a:srgbClr val="A20000"/>
      </a:accent4>
      <a:accent5>
        <a:srgbClr val="E60000"/>
      </a:accent5>
      <a:accent6>
        <a:srgbClr val="3F3F3F"/>
      </a:accent6>
      <a:hlink>
        <a:srgbClr val="FFFFFF"/>
      </a:hlink>
      <a:folHlink>
        <a:srgbClr val="A5A5A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showGridLines="0" showRowColHeaders="0" tabSelected="1" topLeftCell="A5" zoomScale="90" zoomScaleNormal="90" workbookViewId="0">
      <selection activeCell="C11" sqref="C11"/>
    </sheetView>
  </sheetViews>
  <sheetFormatPr baseColWidth="10" defaultColWidth="0" defaultRowHeight="14.5" zeroHeight="1"/>
  <cols>
    <col min="1" max="1" width="3.1796875" customWidth="1"/>
    <col min="2" max="2" width="20.7265625" bestFit="1" customWidth="1"/>
    <col min="3" max="9" width="10.81640625" customWidth="1"/>
    <col min="10" max="10" width="12.81640625" customWidth="1"/>
    <col min="11" max="11" width="15" customWidth="1"/>
    <col min="12" max="12" width="10.81640625" customWidth="1"/>
    <col min="13" max="13" width="10.54296875" customWidth="1"/>
    <col min="14" max="14" width="10.81640625" hidden="1" customWidth="1"/>
    <col min="15" max="15" width="5.453125" hidden="1" customWidth="1"/>
    <col min="16" max="16" width="10.81640625" hidden="1" customWidth="1"/>
    <col min="17" max="19" width="10.81640625" customWidth="1"/>
    <col min="20" max="20" width="2.26953125" customWidth="1"/>
    <col min="21" max="21" width="3.1796875" customWidth="1"/>
    <col min="22" max="16384" width="10.81640625" hidden="1"/>
  </cols>
  <sheetData>
    <row r="1" spans="1:2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>
      <c r="A2" s="41"/>
      <c r="U2" s="41"/>
    </row>
    <row r="3" spans="1:21">
      <c r="A3" s="41"/>
      <c r="U3" s="41"/>
    </row>
    <row r="4" spans="1:21">
      <c r="A4" s="41"/>
      <c r="U4" s="41"/>
    </row>
    <row r="5" spans="1:21">
      <c r="A5" s="41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U5" s="41"/>
    </row>
    <row r="6" spans="1:21" ht="15" thickBot="1">
      <c r="A6" s="41"/>
      <c r="B6" s="60"/>
      <c r="C6" s="60"/>
      <c r="D6" s="60"/>
      <c r="E6" s="60"/>
      <c r="F6" s="60"/>
      <c r="G6" s="60"/>
      <c r="H6" s="6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60"/>
      <c r="U6" s="41"/>
    </row>
    <row r="7" spans="1:21" ht="15" thickTop="1">
      <c r="A7" s="41"/>
      <c r="B7" s="60" t="s">
        <v>55</v>
      </c>
      <c r="C7" s="127" t="s">
        <v>346</v>
      </c>
      <c r="D7" s="128"/>
      <c r="E7" s="128"/>
      <c r="F7" s="60"/>
      <c r="G7" s="60"/>
      <c r="H7" s="110"/>
      <c r="I7" s="131" t="s">
        <v>103</v>
      </c>
      <c r="J7" s="131"/>
      <c r="K7" s="131"/>
      <c r="L7" s="142">
        <v>0</v>
      </c>
      <c r="M7" s="142"/>
      <c r="N7" s="110"/>
      <c r="O7" s="110"/>
      <c r="P7" s="110"/>
      <c r="Q7" s="110"/>
      <c r="R7" s="110"/>
      <c r="S7" s="110"/>
      <c r="T7" s="60"/>
      <c r="U7" s="41"/>
    </row>
    <row r="8" spans="1:21" ht="15" thickBot="1">
      <c r="A8" s="41"/>
      <c r="B8" s="60"/>
      <c r="C8" s="128"/>
      <c r="D8" s="128"/>
      <c r="E8" s="128"/>
      <c r="F8" s="60"/>
      <c r="G8" s="6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60"/>
      <c r="U8" s="41"/>
    </row>
    <row r="9" spans="1:21" ht="15" thickTop="1">
      <c r="A9" s="41"/>
      <c r="B9" s="60" t="s">
        <v>56</v>
      </c>
      <c r="C9" s="135" t="s">
        <v>347</v>
      </c>
      <c r="D9" s="141"/>
      <c r="E9" s="141"/>
      <c r="F9" s="141"/>
      <c r="G9" s="136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60"/>
      <c r="U9" s="41"/>
    </row>
    <row r="10" spans="1:21" ht="15" thickBot="1">
      <c r="A10" s="41"/>
      <c r="B10" s="60"/>
      <c r="C10" s="128"/>
      <c r="D10" s="128"/>
      <c r="E10" s="128"/>
      <c r="F10" s="60"/>
      <c r="G10" s="6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60"/>
      <c r="U10" s="41"/>
    </row>
    <row r="11" spans="1:21" ht="15" thickTop="1">
      <c r="A11" s="41"/>
      <c r="B11" s="60" t="s">
        <v>57</v>
      </c>
      <c r="C11" s="127">
        <v>53</v>
      </c>
      <c r="D11" s="128" t="s">
        <v>58</v>
      </c>
      <c r="E11" s="109" t="str">
        <f>IF(C11&lt;20,TARIFAS!Q6,IF('Ingreso de Datos'!C11&lt;25,TARIFAS!Q7,IF('Ingreso de Datos'!C11&lt;30,TARIFAS!Q8,IF('Ingreso de Datos'!C11&lt;35,TARIFAS!Q9,IF('Ingreso de Datos'!C11&lt;40,TARIFAS!Q10,IF('Ingreso de Datos'!C11&lt;45,TARIFAS!Q11,IF('Ingreso de Datos'!C11&lt;50,TARIFAS!Q12,IF('Ingreso de Datos'!C11&lt;55,TARIFAS!Q13,IF('Ingreso de Datos'!C11&lt;60,TARIFAS!Q14,IF('Ingreso de Datos'!C11&lt;65,TARIFAS!Q15,IF('Ingreso de Datos'!C11&lt;70,TARIFAS!Q16,IF('Ingreso de Datos'!C11&lt;75,TARIFAS!Q17,IF('Ingreso de Datos'!C11&lt;80,TARIFAS!Q18,IF('Ingreso de Datos'!C11&gt;=80,TARIFAS!Q19,"0"))))))))))))))</f>
        <v>50 - 54</v>
      </c>
      <c r="F11" s="110" t="str">
        <f>CONCATENATE(E11,C19)</f>
        <v>50 - 5410000</v>
      </c>
      <c r="G11" s="110">
        <f>IF($C$17="Plan I",VLOOKUP($F$11,CALCULOS!$C$3:$D$72,2,FALSE),VLOOKUP($F$11,CALCULOS!$F$3:$G$72,2,))</f>
        <v>9275.547384984302</v>
      </c>
      <c r="H11" s="110">
        <f>G11*1.05*1.12*(1+$L$7)</f>
        <v>10908.043724741541</v>
      </c>
      <c r="I11" s="110">
        <f>IF(AND($C$17="Plan I",$C$21="SI"),TARIFAS!$C$27,IF(AND($C$17="Plan II",$C$21="SI"),TARIFAS!$C$27,0))</f>
        <v>0</v>
      </c>
      <c r="J11" s="110">
        <f>IF(C21="SI",G11+I11,G11)</f>
        <v>9275.547384984302</v>
      </c>
      <c r="K11" s="110">
        <f>IF(AND($C$17="Plan I",$C$21="SI"),TARIFAS!$C$26,IF(AND($C$17="Plan II",$C$21="SI"),TARIFAS!$C$26,0))</f>
        <v>0</v>
      </c>
      <c r="L11" s="110">
        <f>IF(C21="SI",H11+K11,H11)</f>
        <v>10908.043724741541</v>
      </c>
      <c r="M11" s="110"/>
      <c r="N11" s="110"/>
      <c r="O11" s="110"/>
      <c r="P11" s="110"/>
      <c r="Q11" s="110"/>
      <c r="R11" s="110"/>
      <c r="S11" s="110"/>
      <c r="T11" s="60"/>
      <c r="U11" s="41"/>
    </row>
    <row r="12" spans="1:21" ht="15" thickBot="1">
      <c r="A12" s="41"/>
      <c r="B12" s="60"/>
      <c r="C12" s="128"/>
      <c r="D12" s="128"/>
      <c r="E12" s="109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60"/>
      <c r="U12" s="41"/>
    </row>
    <row r="13" spans="1:21" ht="15" thickTop="1">
      <c r="A13" s="41"/>
      <c r="B13" s="60" t="s">
        <v>59</v>
      </c>
      <c r="C13" s="127"/>
      <c r="D13" s="128" t="s">
        <v>58</v>
      </c>
      <c r="E13" s="109">
        <f>IF(C13&lt;20,TARIFAS!Q6,IF('Ingreso de Datos'!C13&lt;25,TARIFAS!Q7,IF('Ingreso de Datos'!C13&lt;30,TARIFAS!Q8,IF('Ingreso de Datos'!C13&lt;35,TARIFAS!Q9,IF('Ingreso de Datos'!C13&lt;40,TARIFAS!Q10,IF('Ingreso de Datos'!C13&lt;45,TARIFAS!Q11,IF('Ingreso de Datos'!C13&lt;50,TARIFAS!Q12,IF('Ingreso de Datos'!C13&lt;55,TARIFAS!Q13,IF('Ingreso de Datos'!C13&lt;60,TARIFAS!Q14,IF('Ingreso de Datos'!C13&lt;65,TARIFAS!Q15,IF('Ingreso de Datos'!C13&lt;70,TARIFAS!Q16,IF('Ingreso de Datos'!C13&lt;75,TARIFAS!Q17,IF('Ingreso de Datos'!C13&lt;80,TARIFAS!Q18,IF('Ingreso de Datos'!C13&gt;=80,TARIFAS!Q19,"0"))))))))))))))</f>
        <v>19</v>
      </c>
      <c r="F13" s="110" t="str">
        <f>CONCATENATE(E13,C19)</f>
        <v>1910000</v>
      </c>
      <c r="G13" s="110">
        <f>IFERROR(IF($C$17="Plan I",VLOOKUP($F$13,CALCULOS!$C$3:$D$72,2,FALSE),VLOOKUP($F$13,CALCULOS!$F$3:$G$72,2,)),0)</f>
        <v>0</v>
      </c>
      <c r="H13" s="110">
        <f>G13*1.05*1.12</f>
        <v>0</v>
      </c>
      <c r="I13" s="132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60"/>
      <c r="U13" s="41"/>
    </row>
    <row r="14" spans="1:21" ht="15" thickBot="1">
      <c r="A14" s="41"/>
      <c r="B14" s="60"/>
      <c r="C14" s="128"/>
      <c r="D14" s="128"/>
      <c r="E14" s="109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60"/>
      <c r="U14" s="41"/>
    </row>
    <row r="15" spans="1:21" ht="15" customHeight="1" thickTop="1">
      <c r="A15" s="41"/>
      <c r="B15" s="60" t="s">
        <v>60</v>
      </c>
      <c r="C15" s="135" t="s">
        <v>344</v>
      </c>
      <c r="D15" s="136"/>
      <c r="E15" s="109"/>
      <c r="F15" s="110" t="str">
        <f>IF(C15&gt;0,CONCATENATE(C15,C19),0)</f>
        <v>Sin Hijos10000</v>
      </c>
      <c r="G15" s="110" t="str">
        <f>IF(C15="Sin Hijos"," ",IF($C$17="Plan I",VLOOKUP($F$15,CALCULOS!$C$74:$D$88,2,FALSE),VLOOKUP($F$15,CALCULOS!$F$74:$G$88,2,)))</f>
        <v xml:space="preserve"> </v>
      </c>
      <c r="H15" s="110">
        <f>IFERROR(G15*1.05*1.12,0)</f>
        <v>0</v>
      </c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60"/>
      <c r="U15" s="41"/>
    </row>
    <row r="16" spans="1:21" ht="15" thickBot="1">
      <c r="A16" s="41"/>
      <c r="B16" s="60"/>
      <c r="C16" s="128"/>
      <c r="D16" s="128"/>
      <c r="E16" s="109"/>
      <c r="F16" s="110"/>
      <c r="G16" s="110"/>
      <c r="H16" s="110"/>
      <c r="I16" s="106"/>
      <c r="J16" s="106"/>
      <c r="K16" s="106"/>
      <c r="L16" s="106"/>
      <c r="M16" s="106"/>
      <c r="N16" s="106"/>
      <c r="O16" s="106"/>
      <c r="P16" s="106"/>
      <c r="Q16" s="106"/>
      <c r="R16" s="108"/>
      <c r="U16" s="41"/>
    </row>
    <row r="17" spans="1:21" ht="15" thickTop="1">
      <c r="A17" s="41"/>
      <c r="B17" s="60" t="s">
        <v>61</v>
      </c>
      <c r="C17" s="135" t="s">
        <v>345</v>
      </c>
      <c r="D17" s="136"/>
      <c r="E17" s="109"/>
      <c r="F17" s="110"/>
      <c r="G17" s="110"/>
      <c r="H17" s="110"/>
      <c r="I17" s="106"/>
      <c r="J17" s="106"/>
      <c r="K17" s="106"/>
      <c r="L17" s="106"/>
      <c r="M17" s="106"/>
      <c r="N17" s="106"/>
      <c r="O17" s="106"/>
      <c r="P17" s="106"/>
      <c r="Q17" s="106"/>
      <c r="R17" s="108"/>
      <c r="U17" s="41"/>
    </row>
    <row r="18" spans="1:21" ht="15" thickBot="1">
      <c r="A18" s="41"/>
      <c r="B18" s="60"/>
      <c r="C18" s="128"/>
      <c r="D18" s="128"/>
      <c r="E18" s="109"/>
      <c r="F18" s="110"/>
      <c r="G18" s="110"/>
      <c r="H18" s="110"/>
      <c r="I18" s="106"/>
      <c r="J18" s="106"/>
      <c r="K18" s="106"/>
      <c r="L18" s="106"/>
      <c r="M18" s="106"/>
      <c r="N18" s="106"/>
      <c r="O18" s="106"/>
      <c r="P18" s="106"/>
      <c r="Q18" s="106"/>
      <c r="R18" s="108"/>
      <c r="U18" s="41"/>
    </row>
    <row r="19" spans="1:21" ht="15.5" thickTop="1" thickBot="1">
      <c r="A19" s="41"/>
      <c r="B19" s="60" t="s">
        <v>62</v>
      </c>
      <c r="C19" s="137">
        <v>10000</v>
      </c>
      <c r="D19" s="138"/>
      <c r="E19" s="109"/>
      <c r="F19" s="110"/>
      <c r="G19" s="110"/>
      <c r="H19" s="110"/>
      <c r="I19" s="106"/>
      <c r="J19" s="106"/>
      <c r="K19" s="106"/>
      <c r="L19" s="106"/>
      <c r="M19" s="106"/>
      <c r="N19" s="106"/>
      <c r="O19" s="106"/>
      <c r="P19" s="106"/>
      <c r="Q19" s="106"/>
      <c r="U19" s="41"/>
    </row>
    <row r="20" spans="1:21" ht="15.5" thickTop="1" thickBot="1">
      <c r="A20" s="41"/>
      <c r="B20" s="60"/>
      <c r="C20" s="60"/>
      <c r="D20" s="60"/>
      <c r="E20" s="60"/>
      <c r="F20" s="60"/>
      <c r="G20" s="60"/>
      <c r="H20" s="60"/>
      <c r="I20" s="185" t="s">
        <v>104</v>
      </c>
      <c r="J20" s="185"/>
      <c r="K20" s="185"/>
      <c r="L20" s="185"/>
      <c r="M20" s="185"/>
      <c r="N20" s="185"/>
      <c r="O20" s="185"/>
      <c r="P20" s="185"/>
      <c r="Q20" s="186" t="str">
        <f>$C$17</f>
        <v>Plan I</v>
      </c>
      <c r="R20" s="186"/>
      <c r="S20" s="186"/>
      <c r="U20" s="41"/>
    </row>
    <row r="21" spans="1:21" ht="15" thickTop="1">
      <c r="A21" s="41"/>
      <c r="B21" s="60" t="s">
        <v>64</v>
      </c>
      <c r="C21" s="127" t="s">
        <v>22</v>
      </c>
      <c r="D21" s="60"/>
      <c r="E21" s="60"/>
      <c r="F21" s="60"/>
      <c r="G21" s="60"/>
      <c r="H21" s="60"/>
      <c r="I21" s="187" t="s">
        <v>105</v>
      </c>
      <c r="J21" s="188"/>
      <c r="K21" s="188"/>
      <c r="L21" s="188"/>
      <c r="M21" s="188"/>
      <c r="N21" s="188"/>
      <c r="O21" s="188"/>
      <c r="P21" s="189"/>
      <c r="Q21" s="190">
        <f>IF($Q$20="Plan I",6000000,3000000)</f>
        <v>6000000</v>
      </c>
      <c r="R21" s="190"/>
      <c r="S21" s="191"/>
      <c r="U21" s="41"/>
    </row>
    <row r="22" spans="1:21" ht="15" customHeight="1" thickBot="1">
      <c r="A22" s="41"/>
      <c r="B22" s="60"/>
      <c r="C22" s="60"/>
      <c r="D22" s="60"/>
      <c r="E22" s="60"/>
      <c r="F22" s="60"/>
      <c r="G22" s="60"/>
      <c r="H22" s="60"/>
      <c r="I22" s="180" t="s">
        <v>106</v>
      </c>
      <c r="J22" s="180"/>
      <c r="K22" s="180"/>
      <c r="L22" s="180"/>
      <c r="M22" s="180"/>
      <c r="N22" s="180"/>
      <c r="O22" s="180"/>
      <c r="P22" s="180"/>
      <c r="Q22" s="192">
        <v>74</v>
      </c>
      <c r="R22" s="192"/>
      <c r="S22" s="192"/>
      <c r="U22" s="41"/>
    </row>
    <row r="23" spans="1:21" ht="15" thickTop="1">
      <c r="A23" s="41"/>
      <c r="B23" s="60" t="s">
        <v>65</v>
      </c>
      <c r="C23" s="60" t="s">
        <v>66</v>
      </c>
      <c r="D23" s="139">
        <f>Cotización!D20</f>
        <v>10908.043724741541</v>
      </c>
      <c r="E23" s="140"/>
      <c r="F23" s="60"/>
      <c r="G23" s="60"/>
      <c r="H23" s="60"/>
      <c r="I23" s="180" t="s">
        <v>108</v>
      </c>
      <c r="J23" s="180"/>
      <c r="K23" s="180"/>
      <c r="L23" s="180"/>
      <c r="M23" s="180"/>
      <c r="N23" s="180"/>
      <c r="O23" s="180"/>
      <c r="P23" s="180"/>
      <c r="Q23" s="182" t="s">
        <v>109</v>
      </c>
      <c r="R23" s="182"/>
      <c r="S23" s="182"/>
      <c r="U23" s="41"/>
    </row>
    <row r="24" spans="1:21" ht="15" customHeight="1" thickBot="1">
      <c r="A24" s="41"/>
      <c r="B24" s="60"/>
      <c r="C24" s="60"/>
      <c r="D24" s="129"/>
      <c r="E24" s="129"/>
      <c r="F24" s="60"/>
      <c r="G24" s="60"/>
      <c r="H24" s="60"/>
      <c r="I24" s="180" t="s">
        <v>110</v>
      </c>
      <c r="J24" s="180"/>
      <c r="K24" s="180"/>
      <c r="L24" s="180"/>
      <c r="M24" s="180"/>
      <c r="N24" s="180"/>
      <c r="O24" s="180"/>
      <c r="P24" s="180"/>
      <c r="Q24" s="181">
        <v>1</v>
      </c>
      <c r="R24" s="181"/>
      <c r="S24" s="181"/>
      <c r="U24" s="41"/>
    </row>
    <row r="25" spans="1:21" ht="15" thickTop="1">
      <c r="A25" s="41"/>
      <c r="B25" s="60"/>
      <c r="C25" s="60" t="s">
        <v>67</v>
      </c>
      <c r="D25" s="139">
        <f>Cotización!D21</f>
        <v>5563.1022996181864</v>
      </c>
      <c r="E25" s="140"/>
      <c r="F25" s="60"/>
      <c r="G25" s="60"/>
      <c r="H25" s="60"/>
      <c r="I25" s="180" t="s">
        <v>111</v>
      </c>
      <c r="J25" s="180"/>
      <c r="K25" s="180"/>
      <c r="L25" s="180"/>
      <c r="M25" s="180"/>
      <c r="N25" s="180"/>
      <c r="O25" s="180"/>
      <c r="P25" s="180"/>
      <c r="Q25" s="184" t="s">
        <v>112</v>
      </c>
      <c r="R25" s="184"/>
      <c r="S25" s="184"/>
      <c r="U25" s="41"/>
    </row>
    <row r="26" spans="1:21" ht="15" customHeight="1" thickBot="1">
      <c r="A26" s="41"/>
      <c r="B26" s="60"/>
      <c r="C26" s="60"/>
      <c r="D26" s="129"/>
      <c r="E26" s="129"/>
      <c r="F26" s="60"/>
      <c r="G26" s="60"/>
      <c r="H26" s="60"/>
      <c r="I26" s="180"/>
      <c r="J26" s="180"/>
      <c r="K26" s="180"/>
      <c r="L26" s="180"/>
      <c r="M26" s="180"/>
      <c r="N26" s="180"/>
      <c r="O26" s="180"/>
      <c r="P26" s="180"/>
      <c r="Q26" s="184"/>
      <c r="R26" s="184"/>
      <c r="S26" s="184"/>
      <c r="U26" s="41"/>
    </row>
    <row r="27" spans="1:21" ht="15" customHeight="1" thickTop="1">
      <c r="A27" s="41"/>
      <c r="B27" s="60"/>
      <c r="C27" s="60" t="s">
        <v>68</v>
      </c>
      <c r="D27" s="139">
        <f>Cotización!D22</f>
        <v>2836.0913684328007</v>
      </c>
      <c r="E27" s="140"/>
      <c r="F27" s="60"/>
      <c r="G27" s="60"/>
      <c r="H27" s="60"/>
      <c r="I27" s="180"/>
      <c r="J27" s="180"/>
      <c r="K27" s="180"/>
      <c r="L27" s="180"/>
      <c r="M27" s="180"/>
      <c r="N27" s="180"/>
      <c r="O27" s="180"/>
      <c r="P27" s="180"/>
      <c r="Q27" s="184"/>
      <c r="R27" s="184"/>
      <c r="S27" s="184"/>
      <c r="U27" s="41"/>
    </row>
    <row r="28" spans="1:21" ht="15" thickBot="1">
      <c r="A28" s="41"/>
      <c r="B28" s="60"/>
      <c r="C28" s="60"/>
      <c r="D28" s="129"/>
      <c r="E28" s="129"/>
      <c r="F28" s="60"/>
      <c r="G28" s="60"/>
      <c r="H28" s="60"/>
      <c r="I28" s="180"/>
      <c r="J28" s="180"/>
      <c r="K28" s="180"/>
      <c r="L28" s="180"/>
      <c r="M28" s="180"/>
      <c r="N28" s="180"/>
      <c r="O28" s="180"/>
      <c r="P28" s="180"/>
      <c r="Q28" s="184"/>
      <c r="R28" s="184"/>
      <c r="S28" s="184"/>
      <c r="U28" s="41"/>
    </row>
    <row r="29" spans="1:21" ht="15" thickTop="1">
      <c r="A29" s="41"/>
      <c r="B29" s="60"/>
      <c r="C29" s="60" t="s">
        <v>69</v>
      </c>
      <c r="D29" s="139">
        <f>Cotización!D23</f>
        <v>981.72393522673883</v>
      </c>
      <c r="E29" s="140"/>
      <c r="F29" s="60"/>
      <c r="G29" s="60"/>
      <c r="H29" s="60"/>
      <c r="I29" s="180"/>
      <c r="J29" s="180"/>
      <c r="K29" s="180"/>
      <c r="L29" s="180"/>
      <c r="M29" s="180"/>
      <c r="N29" s="180"/>
      <c r="O29" s="180"/>
      <c r="P29" s="180"/>
      <c r="Q29" s="184"/>
      <c r="R29" s="184"/>
      <c r="S29" s="184"/>
      <c r="U29" s="41"/>
    </row>
    <row r="30" spans="1:21" ht="15" customHeight="1" thickBot="1">
      <c r="A30" s="41"/>
      <c r="B30" s="60"/>
      <c r="C30" s="60"/>
      <c r="D30" s="159"/>
      <c r="E30" s="159"/>
      <c r="F30" s="60"/>
      <c r="G30" s="60"/>
      <c r="H30" s="60"/>
      <c r="I30" s="180"/>
      <c r="J30" s="180"/>
      <c r="K30" s="180"/>
      <c r="L30" s="180"/>
      <c r="M30" s="180"/>
      <c r="N30" s="180"/>
      <c r="O30" s="180"/>
      <c r="P30" s="180"/>
      <c r="Q30" s="184"/>
      <c r="R30" s="184"/>
      <c r="S30" s="184"/>
      <c r="U30" s="41"/>
    </row>
    <row r="31" spans="1:21" ht="15.65" customHeight="1" thickTop="1" thickBot="1">
      <c r="A31" s="41"/>
      <c r="B31" s="146" t="s">
        <v>70</v>
      </c>
      <c r="C31" s="147"/>
      <c r="D31" s="147"/>
      <c r="E31" s="148"/>
      <c r="F31" s="146" t="s">
        <v>71</v>
      </c>
      <c r="G31" s="148"/>
      <c r="I31" s="180"/>
      <c r="J31" s="180"/>
      <c r="K31" s="180"/>
      <c r="L31" s="180"/>
      <c r="M31" s="180"/>
      <c r="N31" s="180"/>
      <c r="O31" s="180"/>
      <c r="P31" s="180"/>
      <c r="Q31" s="184"/>
      <c r="R31" s="184"/>
      <c r="S31" s="184"/>
      <c r="U31" s="41"/>
    </row>
    <row r="32" spans="1:21" ht="15" thickTop="1">
      <c r="A32" s="41"/>
      <c r="B32" s="149" t="s">
        <v>72</v>
      </c>
      <c r="C32" s="150"/>
      <c r="D32" s="150"/>
      <c r="E32" s="151"/>
      <c r="F32" s="152">
        <v>1</v>
      </c>
      <c r="G32" s="153"/>
      <c r="I32" s="193" t="s">
        <v>113</v>
      </c>
      <c r="J32" s="193"/>
      <c r="K32" s="193"/>
      <c r="L32" s="193"/>
      <c r="M32" s="193"/>
      <c r="N32" s="193"/>
      <c r="O32" s="193"/>
      <c r="P32" s="193"/>
      <c r="Q32" s="181" t="s">
        <v>114</v>
      </c>
      <c r="R32" s="181"/>
      <c r="S32" s="181"/>
      <c r="U32" s="41"/>
    </row>
    <row r="33" spans="1:21" ht="14.5" customHeight="1">
      <c r="A33" s="41"/>
      <c r="B33" s="154" t="s">
        <v>73</v>
      </c>
      <c r="C33" s="155"/>
      <c r="D33" s="155"/>
      <c r="E33" s="156"/>
      <c r="F33" s="157">
        <v>1</v>
      </c>
      <c r="G33" s="158"/>
      <c r="I33" s="193"/>
      <c r="J33" s="193"/>
      <c r="K33" s="193"/>
      <c r="L33" s="193"/>
      <c r="M33" s="193"/>
      <c r="N33" s="193"/>
      <c r="O33" s="193"/>
      <c r="P33" s="193"/>
      <c r="Q33" s="181"/>
      <c r="R33" s="181"/>
      <c r="S33" s="181"/>
      <c r="U33" s="41"/>
    </row>
    <row r="34" spans="1:21">
      <c r="A34" s="41"/>
      <c r="B34" s="154" t="s">
        <v>74</v>
      </c>
      <c r="C34" s="155"/>
      <c r="D34" s="155"/>
      <c r="E34" s="156"/>
      <c r="F34" s="157">
        <v>1</v>
      </c>
      <c r="G34" s="158"/>
      <c r="I34" s="194" t="s">
        <v>115</v>
      </c>
      <c r="J34" s="194"/>
      <c r="K34" s="194"/>
      <c r="L34" s="194"/>
      <c r="M34" s="194"/>
      <c r="N34" s="194"/>
      <c r="O34" s="194"/>
      <c r="P34" s="194"/>
      <c r="Q34" s="181" t="s">
        <v>114</v>
      </c>
      <c r="R34" s="181"/>
      <c r="S34" s="181"/>
      <c r="U34" s="41"/>
    </row>
    <row r="35" spans="1:21" ht="14.5" customHeight="1">
      <c r="A35" s="41"/>
      <c r="B35" s="154" t="s">
        <v>75</v>
      </c>
      <c r="C35" s="155"/>
      <c r="D35" s="155"/>
      <c r="E35" s="156"/>
      <c r="F35" s="157">
        <v>1</v>
      </c>
      <c r="G35" s="158"/>
      <c r="I35" s="194"/>
      <c r="J35" s="194"/>
      <c r="K35" s="194"/>
      <c r="L35" s="194"/>
      <c r="M35" s="194"/>
      <c r="N35" s="194"/>
      <c r="O35" s="194"/>
      <c r="P35" s="194"/>
      <c r="Q35" s="181"/>
      <c r="R35" s="181"/>
      <c r="S35" s="181"/>
      <c r="U35" s="41"/>
    </row>
    <row r="36" spans="1:21" ht="14.5" customHeight="1">
      <c r="A36" s="41"/>
      <c r="B36" s="154" t="s">
        <v>76</v>
      </c>
      <c r="C36" s="155"/>
      <c r="D36" s="155"/>
      <c r="E36" s="156"/>
      <c r="F36" s="157">
        <v>1</v>
      </c>
      <c r="G36" s="158"/>
      <c r="I36" s="194"/>
      <c r="J36" s="194"/>
      <c r="K36" s="194"/>
      <c r="L36" s="194"/>
      <c r="M36" s="194"/>
      <c r="N36" s="194"/>
      <c r="O36" s="194"/>
      <c r="P36" s="194"/>
      <c r="Q36" s="181"/>
      <c r="R36" s="181"/>
      <c r="S36" s="181"/>
      <c r="U36" s="41"/>
    </row>
    <row r="37" spans="1:21">
      <c r="A37" s="41"/>
      <c r="B37" s="154" t="s">
        <v>77</v>
      </c>
      <c r="C37" s="155"/>
      <c r="D37" s="155"/>
      <c r="E37" s="156"/>
      <c r="F37" s="157">
        <v>1</v>
      </c>
      <c r="G37" s="158"/>
      <c r="I37" s="194" t="s">
        <v>116</v>
      </c>
      <c r="J37" s="194"/>
      <c r="K37" s="194"/>
      <c r="L37" s="194"/>
      <c r="M37" s="194"/>
      <c r="N37" s="194"/>
      <c r="O37" s="194"/>
      <c r="P37" s="194"/>
      <c r="Q37" s="181" t="s">
        <v>114</v>
      </c>
      <c r="R37" s="181"/>
      <c r="S37" s="181"/>
      <c r="U37" s="41"/>
    </row>
    <row r="38" spans="1:21" ht="14.5" customHeight="1">
      <c r="A38" s="41"/>
      <c r="B38" s="154" t="s">
        <v>78</v>
      </c>
      <c r="C38" s="155"/>
      <c r="D38" s="155"/>
      <c r="E38" s="156"/>
      <c r="F38" s="157">
        <v>1</v>
      </c>
      <c r="G38" s="158"/>
      <c r="I38" s="194"/>
      <c r="J38" s="194"/>
      <c r="K38" s="194"/>
      <c r="L38" s="194"/>
      <c r="M38" s="194"/>
      <c r="N38" s="194"/>
      <c r="O38" s="194"/>
      <c r="P38" s="194"/>
      <c r="Q38" s="181"/>
      <c r="R38" s="181"/>
      <c r="S38" s="181"/>
      <c r="U38" s="41"/>
    </row>
    <row r="39" spans="1:21" ht="14.5" customHeight="1">
      <c r="A39" s="41"/>
      <c r="B39" s="154" t="s">
        <v>79</v>
      </c>
      <c r="C39" s="155"/>
      <c r="D39" s="155"/>
      <c r="E39" s="156"/>
      <c r="F39" s="157">
        <v>1</v>
      </c>
      <c r="G39" s="158"/>
      <c r="I39" s="194"/>
      <c r="J39" s="194"/>
      <c r="K39" s="194"/>
      <c r="L39" s="194"/>
      <c r="M39" s="194"/>
      <c r="N39" s="194"/>
      <c r="O39" s="194"/>
      <c r="P39" s="194"/>
      <c r="Q39" s="181"/>
      <c r="R39" s="181"/>
      <c r="S39" s="181"/>
      <c r="U39" s="41"/>
    </row>
    <row r="40" spans="1:21">
      <c r="A40" s="41"/>
      <c r="B40" s="154" t="s">
        <v>80</v>
      </c>
      <c r="C40" s="155"/>
      <c r="D40" s="155"/>
      <c r="E40" s="156"/>
      <c r="F40" s="157">
        <v>1</v>
      </c>
      <c r="G40" s="158"/>
      <c r="I40" s="180" t="s">
        <v>117</v>
      </c>
      <c r="J40" s="180"/>
      <c r="K40" s="180"/>
      <c r="L40" s="180"/>
      <c r="M40" s="180"/>
      <c r="N40" s="180"/>
      <c r="O40" s="180"/>
      <c r="P40" s="180"/>
      <c r="Q40" s="184" t="s">
        <v>118</v>
      </c>
      <c r="R40" s="184"/>
      <c r="S40" s="184"/>
      <c r="U40" s="41"/>
    </row>
    <row r="41" spans="1:21" ht="14.5" customHeight="1">
      <c r="A41" s="41"/>
      <c r="B41" s="154" t="s">
        <v>81</v>
      </c>
      <c r="C41" s="155"/>
      <c r="D41" s="155"/>
      <c r="E41" s="156"/>
      <c r="F41" s="157">
        <v>1</v>
      </c>
      <c r="G41" s="158"/>
      <c r="I41" s="180"/>
      <c r="J41" s="180"/>
      <c r="K41" s="180"/>
      <c r="L41" s="180"/>
      <c r="M41" s="180"/>
      <c r="N41" s="180"/>
      <c r="O41" s="180"/>
      <c r="P41" s="180"/>
      <c r="Q41" s="184"/>
      <c r="R41" s="184"/>
      <c r="S41" s="184"/>
      <c r="U41" s="41"/>
    </row>
    <row r="42" spans="1:21" ht="14.5" customHeight="1">
      <c r="A42" s="41"/>
      <c r="B42" s="154" t="s">
        <v>82</v>
      </c>
      <c r="C42" s="155"/>
      <c r="D42" s="155"/>
      <c r="E42" s="156"/>
      <c r="F42" s="157">
        <v>1</v>
      </c>
      <c r="G42" s="158"/>
      <c r="I42" s="180"/>
      <c r="J42" s="180"/>
      <c r="K42" s="180"/>
      <c r="L42" s="180"/>
      <c r="M42" s="180"/>
      <c r="N42" s="180"/>
      <c r="O42" s="180"/>
      <c r="P42" s="180"/>
      <c r="Q42" s="184"/>
      <c r="R42" s="184"/>
      <c r="S42" s="184"/>
      <c r="U42" s="41"/>
    </row>
    <row r="43" spans="1:21" ht="30" customHeight="1">
      <c r="A43" s="41"/>
      <c r="B43" s="170" t="s">
        <v>83</v>
      </c>
      <c r="C43" s="171"/>
      <c r="D43" s="171"/>
      <c r="E43" s="172"/>
      <c r="F43" s="176">
        <v>1</v>
      </c>
      <c r="G43" s="177"/>
      <c r="I43" s="180"/>
      <c r="J43" s="180"/>
      <c r="K43" s="180"/>
      <c r="L43" s="180"/>
      <c r="M43" s="180"/>
      <c r="N43" s="180"/>
      <c r="O43" s="180"/>
      <c r="P43" s="180"/>
      <c r="Q43" s="184"/>
      <c r="R43" s="184"/>
      <c r="S43" s="184"/>
      <c r="U43" s="41"/>
    </row>
    <row r="44" spans="1:21" ht="13.5" customHeight="1">
      <c r="A44" s="41"/>
      <c r="B44" s="173"/>
      <c r="C44" s="174"/>
      <c r="D44" s="174"/>
      <c r="E44" s="175"/>
      <c r="F44" s="178"/>
      <c r="G44" s="179"/>
      <c r="I44" s="180" t="s">
        <v>341</v>
      </c>
      <c r="J44" s="180"/>
      <c r="K44" s="180"/>
      <c r="L44" s="180"/>
      <c r="M44" s="180"/>
      <c r="N44" s="180"/>
      <c r="O44" s="180"/>
      <c r="P44" s="180"/>
      <c r="Q44" s="183">
        <f>IF($Q$20="Plan I",25000,15000)</f>
        <v>25000</v>
      </c>
      <c r="R44" s="183"/>
      <c r="S44" s="183"/>
      <c r="U44" s="41"/>
    </row>
    <row r="45" spans="1:21">
      <c r="A45" s="41"/>
      <c r="B45" s="154" t="s">
        <v>84</v>
      </c>
      <c r="C45" s="155"/>
      <c r="D45" s="155"/>
      <c r="E45" s="156"/>
      <c r="F45" s="157">
        <v>1</v>
      </c>
      <c r="G45" s="158"/>
      <c r="I45" s="180" t="s">
        <v>119</v>
      </c>
      <c r="J45" s="180"/>
      <c r="K45" s="180"/>
      <c r="L45" s="180"/>
      <c r="M45" s="180"/>
      <c r="N45" s="180"/>
      <c r="O45" s="180"/>
      <c r="P45" s="180"/>
      <c r="Q45" s="182" t="str">
        <f>IF($Q$20="Plan I","Sin límite"," 2 por Año Póliza")</f>
        <v>Sin límite</v>
      </c>
      <c r="R45" s="182"/>
      <c r="S45" s="182"/>
      <c r="U45" s="41"/>
    </row>
    <row r="46" spans="1:21">
      <c r="A46" s="41"/>
      <c r="B46" s="154" t="s">
        <v>85</v>
      </c>
      <c r="C46" s="155"/>
      <c r="D46" s="155"/>
      <c r="E46" s="156"/>
      <c r="F46" s="157">
        <v>1</v>
      </c>
      <c r="G46" s="158"/>
      <c r="I46" s="180" t="s">
        <v>121</v>
      </c>
      <c r="J46" s="180"/>
      <c r="K46" s="180"/>
      <c r="L46" s="180"/>
      <c r="M46" s="180"/>
      <c r="N46" s="180"/>
      <c r="O46" s="180"/>
      <c r="P46" s="180"/>
      <c r="Q46" s="182">
        <f>IF($Q$20="Plan I",100000,75000)</f>
        <v>100000</v>
      </c>
      <c r="R46" s="182"/>
      <c r="S46" s="182"/>
      <c r="U46" s="41"/>
    </row>
    <row r="47" spans="1:21">
      <c r="A47" s="41"/>
      <c r="B47" s="154" t="s">
        <v>86</v>
      </c>
      <c r="C47" s="155"/>
      <c r="D47" s="155"/>
      <c r="E47" s="156"/>
      <c r="F47" s="157">
        <v>1</v>
      </c>
      <c r="G47" s="158"/>
      <c r="I47" s="180" t="s">
        <v>122</v>
      </c>
      <c r="J47" s="180"/>
      <c r="K47" s="180"/>
      <c r="L47" s="180"/>
      <c r="M47" s="180"/>
      <c r="N47" s="180"/>
      <c r="O47" s="180"/>
      <c r="P47" s="180"/>
      <c r="Q47" s="182">
        <f>IF($Q$20="Plan I",500000,200000)</f>
        <v>500000</v>
      </c>
      <c r="R47" s="182"/>
      <c r="S47" s="182"/>
      <c r="U47" s="41"/>
    </row>
    <row r="48" spans="1:21">
      <c r="A48" s="41"/>
      <c r="B48" s="154" t="s">
        <v>87</v>
      </c>
      <c r="C48" s="155"/>
      <c r="D48" s="155"/>
      <c r="E48" s="156"/>
      <c r="F48" s="157">
        <v>1</v>
      </c>
      <c r="G48" s="158"/>
      <c r="I48" s="180" t="s">
        <v>123</v>
      </c>
      <c r="J48" s="180"/>
      <c r="K48" s="180"/>
      <c r="L48" s="180"/>
      <c r="M48" s="180"/>
      <c r="N48" s="180"/>
      <c r="O48" s="180"/>
      <c r="P48" s="180"/>
      <c r="Q48" s="182">
        <f>IF($Q$20="Plan I",125000,50000)</f>
        <v>125000</v>
      </c>
      <c r="R48" s="182"/>
      <c r="S48" s="182"/>
      <c r="U48" s="41"/>
    </row>
    <row r="49" spans="1:21" ht="14.5" customHeight="1">
      <c r="A49" s="41"/>
      <c r="B49" s="154" t="s">
        <v>88</v>
      </c>
      <c r="C49" s="155"/>
      <c r="D49" s="155"/>
      <c r="E49" s="156"/>
      <c r="F49" s="157">
        <v>1</v>
      </c>
      <c r="G49" s="158"/>
      <c r="I49" s="180" t="s">
        <v>124</v>
      </c>
      <c r="J49" s="180"/>
      <c r="K49" s="180"/>
      <c r="L49" s="180"/>
      <c r="M49" s="180"/>
      <c r="N49" s="180"/>
      <c r="O49" s="180"/>
      <c r="P49" s="180"/>
      <c r="Q49" s="182" t="str">
        <f>IF($Q$20="Plan I","Sin Límite","Máx. 30 Noches")</f>
        <v>Sin Límite</v>
      </c>
      <c r="R49" s="182"/>
      <c r="S49" s="182"/>
      <c r="U49" s="41"/>
    </row>
    <row r="50" spans="1:21" ht="14.5" customHeight="1">
      <c r="A50" s="41"/>
      <c r="B50" s="154" t="s">
        <v>89</v>
      </c>
      <c r="C50" s="155"/>
      <c r="D50" s="155"/>
      <c r="E50" s="156"/>
      <c r="F50" s="157">
        <v>1</v>
      </c>
      <c r="G50" s="158"/>
      <c r="I50" s="180" t="s">
        <v>125</v>
      </c>
      <c r="J50" s="180"/>
      <c r="K50" s="180"/>
      <c r="L50" s="180"/>
      <c r="M50" s="180"/>
      <c r="N50" s="180"/>
      <c r="O50" s="180"/>
      <c r="P50" s="180"/>
      <c r="Q50" s="182" t="str">
        <f>IF($Q$20="Plan I","20 sesiones año póliza","10 sesiones año póliza")</f>
        <v>20 sesiones año póliza</v>
      </c>
      <c r="R50" s="182"/>
      <c r="S50" s="182"/>
      <c r="U50" s="41"/>
    </row>
    <row r="51" spans="1:21" ht="14.5" customHeight="1">
      <c r="A51" s="41"/>
      <c r="B51" s="154" t="s">
        <v>90</v>
      </c>
      <c r="C51" s="155"/>
      <c r="D51" s="155"/>
      <c r="E51" s="156"/>
      <c r="F51" s="157">
        <v>1</v>
      </c>
      <c r="G51" s="158"/>
      <c r="I51" s="194" t="s">
        <v>126</v>
      </c>
      <c r="J51" s="194"/>
      <c r="K51" s="194"/>
      <c r="L51" s="194"/>
      <c r="M51" s="194"/>
      <c r="N51" s="194"/>
      <c r="O51" s="194"/>
      <c r="P51" s="194"/>
      <c r="Q51" s="181" t="str">
        <f>IF($C$17="Plan I","Reembolso 100%",100%)</f>
        <v>Reembolso 100%</v>
      </c>
      <c r="R51" s="181"/>
      <c r="S51" s="181"/>
      <c r="U51" s="41"/>
    </row>
    <row r="52" spans="1:21" ht="14.5" customHeight="1">
      <c r="A52" s="41"/>
      <c r="B52" s="154" t="s">
        <v>91</v>
      </c>
      <c r="C52" s="155"/>
      <c r="D52" s="155"/>
      <c r="E52" s="156"/>
      <c r="F52" s="157">
        <v>1</v>
      </c>
      <c r="G52" s="158"/>
      <c r="I52" s="195" t="s">
        <v>128</v>
      </c>
      <c r="J52" s="195"/>
      <c r="K52" s="195"/>
      <c r="L52" s="195"/>
      <c r="M52" s="195"/>
      <c r="N52" s="195"/>
      <c r="O52" s="195"/>
      <c r="P52" s="195"/>
      <c r="Q52" s="182"/>
      <c r="R52" s="182"/>
      <c r="S52" s="182"/>
      <c r="U52" s="41"/>
    </row>
    <row r="53" spans="1:21" ht="14.5" customHeight="1">
      <c r="A53" s="41"/>
      <c r="B53" s="154" t="s">
        <v>92</v>
      </c>
      <c r="C53" s="155"/>
      <c r="D53" s="155"/>
      <c r="E53" s="156"/>
      <c r="F53" s="157">
        <v>1</v>
      </c>
      <c r="G53" s="158"/>
      <c r="I53" s="194" t="s">
        <v>129</v>
      </c>
      <c r="J53" s="194"/>
      <c r="K53" s="194"/>
      <c r="L53" s="194"/>
      <c r="M53" s="194"/>
      <c r="N53" s="194"/>
      <c r="O53" s="194"/>
      <c r="P53" s="194"/>
      <c r="Q53" s="182">
        <f>IF($Q$20="Plan I",500000,250000)</f>
        <v>500000</v>
      </c>
      <c r="R53" s="182"/>
      <c r="S53" s="182"/>
      <c r="U53" s="41"/>
    </row>
    <row r="54" spans="1:21" ht="14.5" customHeight="1">
      <c r="A54" s="41"/>
      <c r="B54" s="154" t="s">
        <v>93</v>
      </c>
      <c r="C54" s="155"/>
      <c r="D54" s="155"/>
      <c r="E54" s="156"/>
      <c r="F54" s="157">
        <v>1</v>
      </c>
      <c r="G54" s="158"/>
      <c r="I54" s="194" t="s">
        <v>130</v>
      </c>
      <c r="J54" s="194"/>
      <c r="K54" s="194"/>
      <c r="L54" s="194"/>
      <c r="M54" s="194"/>
      <c r="N54" s="194"/>
      <c r="O54" s="194"/>
      <c r="P54" s="194"/>
      <c r="Q54" s="182" t="s">
        <v>131</v>
      </c>
      <c r="R54" s="182"/>
      <c r="S54" s="182"/>
      <c r="U54" s="41"/>
    </row>
    <row r="55" spans="1:21" ht="14.5" customHeight="1">
      <c r="A55" s="41"/>
      <c r="B55" s="154" t="s">
        <v>94</v>
      </c>
      <c r="C55" s="155"/>
      <c r="D55" s="155"/>
      <c r="E55" s="156"/>
      <c r="F55" s="157">
        <v>1</v>
      </c>
      <c r="G55" s="158"/>
      <c r="I55" s="198" t="s">
        <v>132</v>
      </c>
      <c r="J55" s="198"/>
      <c r="K55" s="198"/>
      <c r="L55" s="198"/>
      <c r="M55" s="198"/>
      <c r="N55" s="198"/>
      <c r="O55" s="198"/>
      <c r="P55" s="198"/>
      <c r="Q55" s="143"/>
      <c r="R55" s="144"/>
      <c r="S55" s="145"/>
      <c r="U55" s="41"/>
    </row>
    <row r="56" spans="1:21">
      <c r="A56" s="41"/>
      <c r="B56" s="154" t="s">
        <v>95</v>
      </c>
      <c r="C56" s="155"/>
      <c r="D56" s="155"/>
      <c r="E56" s="156"/>
      <c r="F56" s="157">
        <v>1</v>
      </c>
      <c r="G56" s="158"/>
      <c r="I56" s="180" t="s">
        <v>133</v>
      </c>
      <c r="J56" s="180"/>
      <c r="K56" s="180"/>
      <c r="L56" s="180"/>
      <c r="M56" s="180"/>
      <c r="N56" s="180"/>
      <c r="O56" s="180"/>
      <c r="P56" s="180"/>
      <c r="Q56" s="182" t="s">
        <v>120</v>
      </c>
      <c r="R56" s="182"/>
      <c r="S56" s="182"/>
      <c r="U56" s="41"/>
    </row>
    <row r="57" spans="1:21">
      <c r="A57" s="41"/>
      <c r="B57" s="154" t="s">
        <v>96</v>
      </c>
      <c r="C57" s="155"/>
      <c r="D57" s="155"/>
      <c r="E57" s="156"/>
      <c r="F57" s="157">
        <v>1</v>
      </c>
      <c r="G57" s="158"/>
      <c r="I57" s="180" t="s">
        <v>134</v>
      </c>
      <c r="J57" s="180"/>
      <c r="K57" s="180"/>
      <c r="L57" s="180"/>
      <c r="M57" s="180"/>
      <c r="N57" s="180"/>
      <c r="O57" s="180"/>
      <c r="P57" s="180"/>
      <c r="Q57" s="182">
        <f>IF($Q$20="Plan I",5000,7500)</f>
        <v>5000</v>
      </c>
      <c r="R57" s="182"/>
      <c r="S57" s="182"/>
      <c r="U57" s="41"/>
    </row>
    <row r="58" spans="1:21" ht="14.5" customHeight="1">
      <c r="A58" s="41"/>
      <c r="B58" s="154" t="s">
        <v>97</v>
      </c>
      <c r="C58" s="155"/>
      <c r="D58" s="155"/>
      <c r="E58" s="156"/>
      <c r="F58" s="157">
        <v>1</v>
      </c>
      <c r="G58" s="158"/>
      <c r="I58" s="180" t="s">
        <v>135</v>
      </c>
      <c r="J58" s="180"/>
      <c r="K58" s="180"/>
      <c r="L58" s="180"/>
      <c r="M58" s="180"/>
      <c r="N58" s="180"/>
      <c r="O58" s="180"/>
      <c r="P58" s="180"/>
      <c r="Q58" s="182">
        <f>IF($Q$20="Plan I",10000,5000)</f>
        <v>10000</v>
      </c>
      <c r="R58" s="182"/>
      <c r="S58" s="182"/>
      <c r="U58" s="41"/>
    </row>
    <row r="59" spans="1:21" ht="15" thickBot="1">
      <c r="A59" s="41"/>
      <c r="B59" s="160" t="s">
        <v>98</v>
      </c>
      <c r="C59" s="161"/>
      <c r="D59" s="161"/>
      <c r="E59" s="162"/>
      <c r="F59" s="163" t="s">
        <v>99</v>
      </c>
      <c r="G59" s="164"/>
      <c r="I59" s="193" t="s">
        <v>136</v>
      </c>
      <c r="J59" s="193"/>
      <c r="K59" s="193"/>
      <c r="L59" s="193"/>
      <c r="M59" s="193"/>
      <c r="N59" s="193"/>
      <c r="O59" s="193"/>
      <c r="P59" s="193"/>
      <c r="Q59" s="199">
        <f>IF($Q$20="Plan I",500000,250000)</f>
        <v>500000</v>
      </c>
      <c r="R59" s="200"/>
      <c r="S59" s="201"/>
      <c r="U59" s="41"/>
    </row>
    <row r="60" spans="1:21" ht="15.65" customHeight="1" thickTop="1" thickBot="1">
      <c r="A60" s="41"/>
      <c r="B60" s="165" t="s">
        <v>100</v>
      </c>
      <c r="C60" s="166"/>
      <c r="D60" s="166"/>
      <c r="E60" s="167"/>
      <c r="F60" s="168"/>
      <c r="G60" s="169"/>
      <c r="I60" s="193"/>
      <c r="J60" s="193"/>
      <c r="K60" s="193"/>
      <c r="L60" s="193"/>
      <c r="M60" s="193"/>
      <c r="N60" s="193"/>
      <c r="O60" s="193"/>
      <c r="P60" s="193"/>
      <c r="Q60" s="202"/>
      <c r="R60" s="203"/>
      <c r="S60" s="204"/>
      <c r="U60" s="41"/>
    </row>
    <row r="61" spans="1:21" ht="15" thickTop="1">
      <c r="A61" s="41"/>
      <c r="B61" s="149" t="s">
        <v>101</v>
      </c>
      <c r="C61" s="150"/>
      <c r="D61" s="150"/>
      <c r="E61" s="151"/>
      <c r="F61" s="152" t="str">
        <f>IF($C$17="Plan I","Aplica","No Aplica")</f>
        <v>Aplica</v>
      </c>
      <c r="G61" s="153"/>
      <c r="I61" s="180" t="s">
        <v>137</v>
      </c>
      <c r="J61" s="180"/>
      <c r="K61" s="180"/>
      <c r="L61" s="180"/>
      <c r="M61" s="180"/>
      <c r="N61" s="45"/>
      <c r="O61" s="45"/>
      <c r="P61" s="45"/>
      <c r="Q61" s="182">
        <f>IF($Q$20="Plan I",8000,5000)</f>
        <v>8000</v>
      </c>
      <c r="R61" s="182"/>
      <c r="S61" s="182"/>
      <c r="U61" s="41"/>
    </row>
    <row r="62" spans="1:21" ht="15" thickBot="1">
      <c r="A62" s="41"/>
      <c r="B62" s="160" t="s">
        <v>102</v>
      </c>
      <c r="C62" s="161"/>
      <c r="D62" s="161"/>
      <c r="E62" s="162"/>
      <c r="F62" s="163" t="s">
        <v>99</v>
      </c>
      <c r="G62" s="164"/>
      <c r="I62" s="197" t="s">
        <v>138</v>
      </c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U62" s="41"/>
    </row>
    <row r="63" spans="1:21" ht="15" thickTop="1">
      <c r="A63" s="41"/>
      <c r="B63" s="196" t="s">
        <v>340</v>
      </c>
      <c r="C63" s="196"/>
      <c r="U63" s="41"/>
    </row>
    <row r="64" spans="1:2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</row>
  </sheetData>
  <sheetProtection algorithmName="SHA-512" hashValue="ojVE0qYRECk1wi3hBpBcdi7na5UTZ1Iy4CGHAFnSP8Yv8QcErq5Nxc4zUMyygTL6j9HIsn+U/0l+Y2DltRIK0Q==" saltValue="pjCCYoSCer70Znk31CJ3ww==" spinCount="100000" sheet="1" objects="1" scenarios="1" selectLockedCells="1"/>
  <mergeCells count="128">
    <mergeCell ref="B63:C63"/>
    <mergeCell ref="I62:S62"/>
    <mergeCell ref="I55:P55"/>
    <mergeCell ref="I61:M61"/>
    <mergeCell ref="Q59:S60"/>
    <mergeCell ref="I56:P56"/>
    <mergeCell ref="Q56:S56"/>
    <mergeCell ref="I25:P31"/>
    <mergeCell ref="Q25:S31"/>
    <mergeCell ref="I32:P33"/>
    <mergeCell ref="Q32:S33"/>
    <mergeCell ref="I34:P36"/>
    <mergeCell ref="Q34:S36"/>
    <mergeCell ref="I37:P39"/>
    <mergeCell ref="Q37:S39"/>
    <mergeCell ref="Q61:S61"/>
    <mergeCell ref="I46:P46"/>
    <mergeCell ref="I45:P45"/>
    <mergeCell ref="F54:G54"/>
    <mergeCell ref="B55:E55"/>
    <mergeCell ref="F55:G55"/>
    <mergeCell ref="B50:E50"/>
    <mergeCell ref="F50:G50"/>
    <mergeCell ref="B52:E52"/>
    <mergeCell ref="I58:P58"/>
    <mergeCell ref="Q58:S58"/>
    <mergeCell ref="I59:P60"/>
    <mergeCell ref="I53:P53"/>
    <mergeCell ref="Q53:S53"/>
    <mergeCell ref="I54:P54"/>
    <mergeCell ref="Q54:S54"/>
    <mergeCell ref="Q45:S45"/>
    <mergeCell ref="I49:P49"/>
    <mergeCell ref="I50:P50"/>
    <mergeCell ref="I51:P51"/>
    <mergeCell ref="I52:P52"/>
    <mergeCell ref="Q52:S52"/>
    <mergeCell ref="Q51:S51"/>
    <mergeCell ref="Q50:S50"/>
    <mergeCell ref="I20:P20"/>
    <mergeCell ref="Q20:S20"/>
    <mergeCell ref="I57:P57"/>
    <mergeCell ref="Q57:S57"/>
    <mergeCell ref="I21:P21"/>
    <mergeCell ref="Q21:S21"/>
    <mergeCell ref="I22:P22"/>
    <mergeCell ref="Q22:S22"/>
    <mergeCell ref="I23:P23"/>
    <mergeCell ref="Q23:S23"/>
    <mergeCell ref="B43:E44"/>
    <mergeCell ref="F43:G44"/>
    <mergeCell ref="F48:G48"/>
    <mergeCell ref="B49:E49"/>
    <mergeCell ref="F49:G49"/>
    <mergeCell ref="I24:P24"/>
    <mergeCell ref="Q24:S24"/>
    <mergeCell ref="Q46:S46"/>
    <mergeCell ref="I47:P47"/>
    <mergeCell ref="Q47:S47"/>
    <mergeCell ref="I48:P48"/>
    <mergeCell ref="Q48:S48"/>
    <mergeCell ref="Q49:S49"/>
    <mergeCell ref="I44:P44"/>
    <mergeCell ref="Q44:S44"/>
    <mergeCell ref="I40:P43"/>
    <mergeCell ref="Q40:S43"/>
    <mergeCell ref="B62:E62"/>
    <mergeCell ref="F62:G62"/>
    <mergeCell ref="B59:E59"/>
    <mergeCell ref="F59:G59"/>
    <mergeCell ref="B60:E60"/>
    <mergeCell ref="F60:G60"/>
    <mergeCell ref="B61:E61"/>
    <mergeCell ref="F61:G61"/>
    <mergeCell ref="B56:E56"/>
    <mergeCell ref="F56:G56"/>
    <mergeCell ref="B57:E57"/>
    <mergeCell ref="F57:G57"/>
    <mergeCell ref="B58:E58"/>
    <mergeCell ref="F58:G58"/>
    <mergeCell ref="B53:E53"/>
    <mergeCell ref="F53:G53"/>
    <mergeCell ref="B54:E54"/>
    <mergeCell ref="F34:G34"/>
    <mergeCell ref="B35:E35"/>
    <mergeCell ref="F35:G35"/>
    <mergeCell ref="B36:E36"/>
    <mergeCell ref="F36:G36"/>
    <mergeCell ref="B45:E45"/>
    <mergeCell ref="F45:G45"/>
    <mergeCell ref="B46:E46"/>
    <mergeCell ref="F46:G46"/>
    <mergeCell ref="B40:E40"/>
    <mergeCell ref="F40:G40"/>
    <mergeCell ref="B41:E41"/>
    <mergeCell ref="F41:G41"/>
    <mergeCell ref="B42:E42"/>
    <mergeCell ref="F42:G42"/>
    <mergeCell ref="F52:G52"/>
    <mergeCell ref="B47:E47"/>
    <mergeCell ref="F47:G47"/>
    <mergeCell ref="B48:E48"/>
    <mergeCell ref="B51:E51"/>
    <mergeCell ref="F51:G51"/>
    <mergeCell ref="C15:D15"/>
    <mergeCell ref="C17:D17"/>
    <mergeCell ref="C19:D19"/>
    <mergeCell ref="D23:E23"/>
    <mergeCell ref="C9:G9"/>
    <mergeCell ref="L7:M7"/>
    <mergeCell ref="Q55:S55"/>
    <mergeCell ref="B31:E31"/>
    <mergeCell ref="F31:G31"/>
    <mergeCell ref="B32:E32"/>
    <mergeCell ref="F32:G32"/>
    <mergeCell ref="B33:E33"/>
    <mergeCell ref="F33:G33"/>
    <mergeCell ref="D25:E25"/>
    <mergeCell ref="D27:E27"/>
    <mergeCell ref="D29:E29"/>
    <mergeCell ref="D30:E30"/>
    <mergeCell ref="B37:E37"/>
    <mergeCell ref="F37:G37"/>
    <mergeCell ref="B38:E38"/>
    <mergeCell ref="F38:G38"/>
    <mergeCell ref="B39:E39"/>
    <mergeCell ref="F39:G39"/>
    <mergeCell ref="B34:E34"/>
  </mergeCells>
  <dataValidations count="5">
    <dataValidation type="list" allowBlank="1" showInputMessage="1" showErrorMessage="1" sqref="C7" xr:uid="{00000000-0002-0000-0000-000000000000}">
      <formula1>"Señor, Señora, Señorita"</formula1>
    </dataValidation>
    <dataValidation type="list" allowBlank="1" showInputMessage="1" showErrorMessage="1" sqref="C15:D15" xr:uid="{00000000-0002-0000-0000-000001000000}">
      <formula1>"Sin Hijos, 1 Hijo, 2 Hijos, 3 o Más Hijos"</formula1>
    </dataValidation>
    <dataValidation type="list" allowBlank="1" showInputMessage="1" showErrorMessage="1" sqref="C17:D17" xr:uid="{00000000-0002-0000-0000-000002000000}">
      <formula1>"Plan I, Plan II"</formula1>
    </dataValidation>
    <dataValidation type="list" allowBlank="1" showInputMessage="1" showErrorMessage="1" sqref="C21" xr:uid="{00000000-0002-0000-0000-000003000000}">
      <formula1>"SI, NO"</formula1>
    </dataValidation>
    <dataValidation type="whole" allowBlank="1" showInputMessage="1" showErrorMessage="1" errorTitle="Edad no es Válida" error="El rango de edad aceptable es de 18 a 74 años. " sqref="C11 C13" xr:uid="{00000000-0002-0000-0000-000004000000}">
      <formula1>18</formula1>
      <formula2>74</formula2>
    </dataValidation>
  </dataValidations>
  <pageMargins left="0.7" right="0.7" top="0.75" bottom="0.75" header="0.3" footer="0.3"/>
  <pageSetup scale="70" orientation="portrait" r:id="rId1"/>
  <colBreaks count="1" manualBreakCount="1">
    <brk id="8" max="6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TARIFAS!C$3:G$3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9"/>
  <sheetViews>
    <sheetView showGridLines="0" zoomScale="85" zoomScaleNormal="85" zoomScaleSheetLayoutView="70" workbookViewId="0">
      <selection activeCell="B94" sqref="B94:L94"/>
    </sheetView>
  </sheetViews>
  <sheetFormatPr baseColWidth="10" defaultColWidth="0" defaultRowHeight="14.5" zeroHeight="1"/>
  <cols>
    <col min="1" max="1" width="3.453125" customWidth="1"/>
    <col min="2" max="2" width="20.81640625" customWidth="1"/>
    <col min="3" max="3" width="26.26953125" customWidth="1"/>
    <col min="4" max="5" width="23.81640625" customWidth="1"/>
    <col min="6" max="6" width="2.54296875" customWidth="1"/>
    <col min="7" max="7" width="1.7265625" customWidth="1"/>
    <col min="8" max="8" width="3.81640625" customWidth="1"/>
    <col min="9" max="9" width="3.1796875" customWidth="1"/>
    <col min="10" max="10" width="4" customWidth="1"/>
    <col min="11" max="13" width="10.81640625" customWidth="1"/>
    <col min="14" max="33" width="0" hidden="1" customWidth="1"/>
    <col min="34" max="16384" width="10.81640625" hidden="1"/>
  </cols>
  <sheetData>
    <row r="1" spans="2:27"/>
    <row r="2" spans="2:27"/>
    <row r="3" spans="2:27"/>
    <row r="4" spans="2:27"/>
    <row r="5" spans="2:27">
      <c r="B5" s="207">
        <f ca="1">TODAY()</f>
        <v>44714</v>
      </c>
      <c r="C5" s="207"/>
    </row>
    <row r="6" spans="2:27"/>
    <row r="7" spans="2:27">
      <c r="B7" t="str">
        <f>'Ingreso de Datos'!$C$7</f>
        <v>Señor</v>
      </c>
    </row>
    <row r="8" spans="2:27">
      <c r="B8" t="str">
        <f>'Ingreso de Datos'!$C$9</f>
        <v>Cliente interesado</v>
      </c>
    </row>
    <row r="9" spans="2:27">
      <c r="B9" t="s">
        <v>139</v>
      </c>
    </row>
    <row r="10" spans="2:27"/>
    <row r="11" spans="2:27">
      <c r="B11" t="str">
        <f>IF(B7="Señor","Estimado","Estimada")</f>
        <v>Estimado</v>
      </c>
    </row>
    <row r="12" spans="2:27"/>
    <row r="13" spans="2:27" ht="14.5" customHeight="1">
      <c r="B13" s="216" t="s">
        <v>339</v>
      </c>
      <c r="C13" s="216"/>
      <c r="D13" s="216"/>
      <c r="E13" s="216"/>
      <c r="F13" s="216"/>
      <c r="G13" s="216"/>
      <c r="H13" s="216"/>
      <c r="I13" s="21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2:27">
      <c r="B14" s="216"/>
      <c r="C14" s="216"/>
      <c r="D14" s="216"/>
      <c r="E14" s="216"/>
      <c r="F14" s="216"/>
      <c r="G14" s="216"/>
      <c r="H14" s="216"/>
      <c r="I14" s="21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2:27">
      <c r="B15" s="216"/>
      <c r="C15" s="216"/>
      <c r="D15" s="216"/>
      <c r="E15" s="216"/>
      <c r="F15" s="216"/>
      <c r="G15" s="216"/>
      <c r="H15" s="216"/>
      <c r="I15" s="21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2:27" ht="3.65" customHeight="1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2:5">
      <c r="B17" t="s">
        <v>140</v>
      </c>
    </row>
    <row r="18" spans="2:5"/>
    <row r="19" spans="2:5">
      <c r="C19" s="43" t="s">
        <v>141</v>
      </c>
      <c r="D19" s="43" t="s">
        <v>142</v>
      </c>
    </row>
    <row r="20" spans="2:5">
      <c r="C20" s="44" t="s">
        <v>143</v>
      </c>
      <c r="D20" s="97">
        <f>VLOOKUP('Ingreso de Datos'!$C$19,'calculos 2'!$C$31:$E$35,3,)</f>
        <v>10908.043724741541</v>
      </c>
    </row>
    <row r="21" spans="2:5">
      <c r="C21" s="44" t="s">
        <v>144</v>
      </c>
      <c r="D21" s="97">
        <f>VLOOKUP('Ingreso de Datos'!$C$19,'calculos 2'!$C$31:$H$35,4,)</f>
        <v>5563.1022996181864</v>
      </c>
    </row>
    <row r="22" spans="2:5">
      <c r="C22" s="44" t="s">
        <v>145</v>
      </c>
      <c r="D22" s="97">
        <f>VLOOKUP('Ingreso de Datos'!$C$19,'calculos 2'!$C$31:$H$35,5,)</f>
        <v>2836.0913684328007</v>
      </c>
    </row>
    <row r="23" spans="2:5">
      <c r="C23" s="44" t="s">
        <v>146</v>
      </c>
      <c r="D23" s="97">
        <f>VLOOKUP('Ingreso de Datos'!$C$19,'calculos 2'!$C$31:$H$35,6,)</f>
        <v>981.72393522673883</v>
      </c>
    </row>
    <row r="24" spans="2:5"/>
    <row r="25" spans="2:5">
      <c r="C25" s="98" t="s">
        <v>147</v>
      </c>
      <c r="D25" s="98" t="s">
        <v>148</v>
      </c>
      <c r="E25" s="98" t="s">
        <v>149</v>
      </c>
    </row>
    <row r="26" spans="2:5">
      <c r="C26" s="99">
        <f>IF('Ingreso de Datos'!$C$17="Plan I",VLOOKUP('Ingreso de Datos'!$C$19,'calculos 2'!$C$38:$E$42,3,),VLOOKUP('Ingreso de Datos'!$C$19,'calculos 2'!$G$38:$I$42,3))</f>
        <v>11011.929855453365</v>
      </c>
      <c r="D26" s="99">
        <f>IF('Ingreso de Datos'!$C$17="Plan I",VLOOKUP('Ingreso de Datos'!$C$19,'calculos 2'!$C$44:$E$48,3,),VLOOKUP('Ingreso de Datos'!$C$19,'calculos 2'!$G$44:$I$48,3))</f>
        <v>0</v>
      </c>
      <c r="E26" s="99">
        <f>D27</f>
        <v>0</v>
      </c>
    </row>
    <row r="27" spans="2:5">
      <c r="C27" s="108"/>
      <c r="D27" s="106">
        <f>IF('Ingreso de Datos'!$C$17="Plan I",VLOOKUP('Ingreso de Datos'!$C$19,'calculos 2'!$C$50:$E$54,3,),VLOOKUP('Ingreso de Datos'!$C$19,'calculos 2'!$G$50:$I$54,3))</f>
        <v>0</v>
      </c>
    </row>
    <row r="28" spans="2:5">
      <c r="B28" s="222" t="str">
        <f>'Ingreso de Datos'!I20</f>
        <v>COBERTURA</v>
      </c>
      <c r="C28" s="222"/>
      <c r="D28" s="236" t="str">
        <f>'Ingreso de Datos'!Q20</f>
        <v>Plan I</v>
      </c>
      <c r="E28" s="237"/>
    </row>
    <row r="29" spans="2:5">
      <c r="B29" s="223" t="str">
        <f>'Ingreso de Datos'!I21</f>
        <v>Suma Asegurada Anual</v>
      </c>
      <c r="C29" s="224"/>
      <c r="D29" s="210">
        <f>'Ingreso de Datos'!Q21</f>
        <v>6000000</v>
      </c>
      <c r="E29" s="211"/>
    </row>
    <row r="30" spans="2:5">
      <c r="B30" s="223" t="str">
        <f>'Ingreso de Datos'!I22</f>
        <v>Edad Máxima de Ingreso</v>
      </c>
      <c r="C30" s="224"/>
      <c r="D30" s="212">
        <f>'Ingreso de Datos'!Q22</f>
        <v>74</v>
      </c>
      <c r="E30" s="213"/>
    </row>
    <row r="31" spans="2:5">
      <c r="B31" s="223" t="str">
        <f>'Ingreso de Datos'!I23</f>
        <v>Renovación</v>
      </c>
      <c r="C31" s="224"/>
      <c r="D31" s="212" t="str">
        <f>'Ingreso de Datos'!Q23</f>
        <v>Garantizada de por Vida</v>
      </c>
      <c r="E31" s="213"/>
    </row>
    <row r="32" spans="2:5">
      <c r="B32" s="223" t="str">
        <f>'Ingreso de Datos'!I24</f>
        <v>Cobertura</v>
      </c>
      <c r="C32" s="224"/>
      <c r="D32" s="214">
        <f>'Ingreso de Datos'!Q24</f>
        <v>1</v>
      </c>
      <c r="E32" s="215"/>
    </row>
    <row r="33" spans="2:5" ht="58" customHeight="1">
      <c r="B33" s="209" t="str">
        <f>'Ingreso de Datos'!I25</f>
        <v>Cobertura Geográfica</v>
      </c>
      <c r="C33" s="209"/>
      <c r="D33" s="208" t="str">
        <f>'Ingreso de Datos'!Q25</f>
        <v>Servicios hospitalarios y ambulatorios proporcionados por la Red Preferente y sus médicos. Tratamientos en el extranjero medicamente necesarios no tratables en la Red Preferente con autorización previa.</v>
      </c>
      <c r="E33" s="208"/>
    </row>
    <row r="34" spans="2:5" ht="30" customHeight="1">
      <c r="B34" s="208" t="str">
        <f>'Ingreso de Datos'!I32</f>
        <v>Privilegio de continuidad de cobertura para dependientes</v>
      </c>
      <c r="C34" s="208"/>
      <c r="D34" s="217" t="str">
        <f>'Ingreso de Datos'!Q32</f>
        <v>INCLUIDO</v>
      </c>
      <c r="E34" s="218"/>
    </row>
    <row r="35" spans="2:5" ht="28" customHeight="1">
      <c r="B35" s="208" t="str">
        <f>'Ingreso de Datos'!I34</f>
        <v>Exoneración de deducible en consulta en clínica (máximo 5 consultas por asegurado al año)</v>
      </c>
      <c r="C35" s="208"/>
      <c r="D35" s="217" t="str">
        <f>'Ingreso de Datos'!Q34</f>
        <v>INCLUIDO</v>
      </c>
      <c r="E35" s="218"/>
    </row>
    <row r="36" spans="2:5" ht="30" customHeight="1">
      <c r="B36" s="208" t="str">
        <f>'Ingreso de Datos'!I37</f>
        <v>Exoneración de deducible en caso de emergencia por accidente menor (sin hospitalización)</v>
      </c>
      <c r="C36" s="208"/>
      <c r="D36" s="217" t="str">
        <f>'Ingreso de Datos'!Q37</f>
        <v>INCLUIDO</v>
      </c>
      <c r="E36" s="218"/>
    </row>
    <row r="37" spans="2:5" ht="61" customHeight="1">
      <c r="B37" s="208" t="str">
        <f>'Ingreso de Datos'!I40</f>
        <v>Coordinación de Beneficios</v>
      </c>
      <c r="C37" s="208"/>
      <c r="D37" s="225" t="str">
        <f>'Ingreso de Datos'!Q40</f>
        <v>Coordinación de beneficios para gastos fuera de Guatemala siendo healthONE póliza secundaria. Coordinación de beneficios con pólizas locales por hospitalizaciones en la Red Preferente.</v>
      </c>
      <c r="E37" s="225"/>
    </row>
    <row r="38" spans="2:5">
      <c r="B38" s="223" t="str">
        <f>'Ingreso de Datos'!I44</f>
        <v>Ambulancia Aérea (US$)</v>
      </c>
      <c r="C38" s="224"/>
      <c r="D38" s="219">
        <f>'Ingreso de Datos'!Q44</f>
        <v>25000</v>
      </c>
      <c r="E38" s="220"/>
    </row>
    <row r="39" spans="2:5">
      <c r="B39" s="223" t="str">
        <f>'Ingreso de Datos'!I45</f>
        <v>Ambulancia Terrestre</v>
      </c>
      <c r="C39" s="224"/>
      <c r="D39" s="212" t="str">
        <f>'Ingreso de Datos'!Q45</f>
        <v>Sin límite</v>
      </c>
      <c r="E39" s="213"/>
    </row>
    <row r="40" spans="2:5">
      <c r="B40" s="223" t="str">
        <f>'Ingreso de Datos'!I46</f>
        <v>VIH / Sida</v>
      </c>
      <c r="C40" s="224"/>
      <c r="D40" s="210">
        <f>'Ingreso de Datos'!Q46</f>
        <v>100000</v>
      </c>
      <c r="E40" s="211"/>
    </row>
    <row r="41" spans="2:5">
      <c r="B41" s="46" t="str">
        <f>'Ingreso de Datos'!I47</f>
        <v>Trasplante de Órganos Principales</v>
      </c>
      <c r="C41" s="46"/>
      <c r="D41" s="210">
        <f>'Ingreso de Datos'!Q47</f>
        <v>500000</v>
      </c>
      <c r="E41" s="211"/>
    </row>
    <row r="42" spans="2:5">
      <c r="B42" s="46" t="str">
        <f>'Ingreso de Datos'!I48</f>
        <v>Gastos de Donador de Trasplante</v>
      </c>
      <c r="C42" s="46"/>
      <c r="D42" s="210">
        <f>'Ingreso de Datos'!Q48</f>
        <v>125000</v>
      </c>
      <c r="E42" s="211"/>
    </row>
    <row r="43" spans="2:5" ht="28" customHeight="1">
      <c r="B43" s="221" t="str">
        <f>'Ingreso de Datos'!I49</f>
        <v>Hospedaje para acompañante de menor de edad o mayor de 65 años</v>
      </c>
      <c r="C43" s="221"/>
      <c r="D43" s="212" t="str">
        <f>'Ingreso de Datos'!Q49</f>
        <v>Sin Límite</v>
      </c>
      <c r="E43" s="213"/>
    </row>
    <row r="44" spans="2:5">
      <c r="B44" s="46" t="str">
        <f>'Ingreso de Datos'!I50</f>
        <v>Terapias especiales (habla, trastornos de sueño)</v>
      </c>
      <c r="C44" s="46"/>
      <c r="D44" s="212" t="str">
        <f>'Ingreso de Datos'!Q50</f>
        <v>20 sesiones año póliza</v>
      </c>
      <c r="E44" s="213"/>
    </row>
    <row r="45" spans="2:5" ht="30" customHeight="1">
      <c r="B45" s="221" t="str">
        <f>'Ingreso de Datos'!I51</f>
        <v>Medicinas hasta 30 días (después de hospitalización, emergencia y/ consulta)</v>
      </c>
      <c r="C45" s="221"/>
      <c r="D45" s="214" t="str">
        <f>'Ingreso de Datos'!Q51</f>
        <v>Reembolso 100%</v>
      </c>
      <c r="E45" s="215"/>
    </row>
    <row r="46" spans="2:5">
      <c r="B46" s="130" t="str">
        <f>'Ingreso de Datos'!I52</f>
        <v>Enfermedades Congénitas y/o Hereditarias</v>
      </c>
      <c r="C46" s="130"/>
      <c r="D46" s="229"/>
      <c r="E46" s="230"/>
    </row>
    <row r="47" spans="2:5">
      <c r="B47" s="46" t="str">
        <f>'Ingreso de Datos'!I53</f>
        <v>Diagnosticada antes de los 18 años de edad</v>
      </c>
      <c r="C47" s="46"/>
      <c r="D47" s="210">
        <f>'Ingreso de Datos'!Q53</f>
        <v>500000</v>
      </c>
      <c r="E47" s="211"/>
    </row>
    <row r="48" spans="2:5">
      <c r="B48" s="46" t="str">
        <f>'Ingreso de Datos'!I54</f>
        <v>Diagnosticada después de los 18 años</v>
      </c>
      <c r="C48" s="46"/>
      <c r="D48" s="212" t="str">
        <f>'Ingreso de Datos'!Q54</f>
        <v>Hasta el límite anual (C.C.O.I.)</v>
      </c>
      <c r="E48" s="213"/>
    </row>
    <row r="49" spans="2:5" ht="31.5" customHeight="1">
      <c r="B49" s="226" t="str">
        <f>'Ingreso de Datos'!I55</f>
        <v>MATERNIDAD (OPCIONAL/APLICA SOLO SI ESTÁ INCLUIDA)</v>
      </c>
      <c r="C49" s="226"/>
      <c r="D49" s="229" t="str">
        <f>'Ingreso de Datos'!C21</f>
        <v>NO</v>
      </c>
      <c r="E49" s="230"/>
    </row>
    <row r="50" spans="2:5">
      <c r="B50" s="231" t="str">
        <f>'Ingreso de Datos'!I56</f>
        <v>Gastos de Maternidad</v>
      </c>
      <c r="C50" s="232"/>
      <c r="D50" s="212" t="str">
        <f>'Ingreso de Datos'!Q56</f>
        <v xml:space="preserve">Sin límite </v>
      </c>
      <c r="E50" s="213"/>
    </row>
    <row r="51" spans="2:5">
      <c r="B51" s="46" t="str">
        <f>'Ingreso de Datos'!I57</f>
        <v>Deducible beneficios de maternidad</v>
      </c>
      <c r="C51" s="46"/>
      <c r="D51" s="210">
        <f>'Ingreso de Datos'!Q57</f>
        <v>5000</v>
      </c>
      <c r="E51" s="211"/>
    </row>
    <row r="52" spans="2:5">
      <c r="B52" s="46" t="str">
        <f>'Ingreso de Datos'!I58</f>
        <v>Atención Ordinaria al Recién Nacido</v>
      </c>
      <c r="C52" s="46"/>
      <c r="D52" s="210">
        <f>'Ingreso de Datos'!Q58</f>
        <v>10000</v>
      </c>
      <c r="E52" s="211"/>
    </row>
    <row r="53" spans="2:5" ht="33" customHeight="1">
      <c r="B53" s="221" t="str">
        <f>'Ingreso de Datos'!I59</f>
        <v>Complicaciones del recién nacido y Enfermedades Congénitas y/o Hereditarias</v>
      </c>
      <c r="C53" s="221"/>
      <c r="D53" s="210">
        <f>'Ingreso de Datos'!Q59</f>
        <v>500000</v>
      </c>
      <c r="E53" s="211"/>
    </row>
    <row r="54" spans="2:5">
      <c r="B54" s="46" t="str">
        <f>'Ingreso de Datos'!I61</f>
        <v>Control de Niño Sano (primeros 5 años de Vida)</v>
      </c>
      <c r="C54" s="46"/>
      <c r="D54" s="210">
        <f>'Ingreso de Datos'!Q61</f>
        <v>8000</v>
      </c>
      <c r="E54" s="211"/>
    </row>
    <row r="55" spans="2:5" ht="29.5" customHeight="1">
      <c r="B55" s="221" t="str">
        <f>'Ingreso de Datos'!I62</f>
        <v>Inclusión automática de Recien Nacido de Maternidad Cubierta</v>
      </c>
      <c r="C55" s="221"/>
      <c r="D55" s="212"/>
      <c r="E55" s="213"/>
    </row>
    <row r="56" spans="2:5"/>
    <row r="57" spans="2:5">
      <c r="B57" s="228"/>
      <c r="C57" s="228"/>
      <c r="D57" s="228"/>
      <c r="E57" s="228"/>
    </row>
    <row r="58" spans="2:5">
      <c r="B58" s="238" t="str">
        <f>'Ingreso de Datos'!B31:E31</f>
        <v>BENEFICIO</v>
      </c>
      <c r="C58" s="238"/>
      <c r="D58" s="239" t="str">
        <f>'Ingreso de Datos'!F31</f>
        <v>%</v>
      </c>
      <c r="E58" s="238"/>
    </row>
    <row r="59" spans="2:5">
      <c r="B59" s="227" t="str">
        <f>'Ingreso de Datos'!B32:E32</f>
        <v>Habitación Privada</v>
      </c>
      <c r="C59" s="227"/>
      <c r="D59" s="234">
        <f>'Ingreso de Datos'!F32</f>
        <v>1</v>
      </c>
      <c r="E59" s="235"/>
    </row>
    <row r="60" spans="2:5">
      <c r="B60" s="227" t="str">
        <f>'Ingreso de Datos'!B33:E33</f>
        <v>Habitación de Cuidados Intensivos</v>
      </c>
      <c r="C60" s="227"/>
      <c r="D60" s="234">
        <f>'Ingreso de Datos'!F33</f>
        <v>1</v>
      </c>
      <c r="E60" s="235"/>
    </row>
    <row r="61" spans="2:5">
      <c r="B61" s="227" t="str">
        <f>'Ingreso de Datos'!B34:E34</f>
        <v>Habitación de Cuidados Intensivos Neonatales</v>
      </c>
      <c r="C61" s="227"/>
      <c r="D61" s="234">
        <f>'Ingreso de Datos'!F34</f>
        <v>1</v>
      </c>
      <c r="E61" s="235"/>
    </row>
    <row r="62" spans="2:5">
      <c r="B62" s="227" t="str">
        <f>'Ingreso de Datos'!B35:E35</f>
        <v>Sala de Unidad de Cardiología</v>
      </c>
      <c r="C62" s="227"/>
      <c r="D62" s="234">
        <f>'Ingreso de Datos'!F35</f>
        <v>1</v>
      </c>
      <c r="E62" s="235"/>
    </row>
    <row r="63" spans="2:5">
      <c r="B63" s="227" t="str">
        <f>'Ingreso de Datos'!B36:E36</f>
        <v>Sala de Operaciones de recuperación o curaciones</v>
      </c>
      <c r="C63" s="227"/>
      <c r="D63" s="234">
        <f>'Ingreso de Datos'!F36</f>
        <v>1</v>
      </c>
      <c r="E63" s="235"/>
    </row>
    <row r="64" spans="2:5">
      <c r="B64" s="227" t="str">
        <f>'Ingreso de Datos'!B37:E37</f>
        <v>Honorarios Médicos</v>
      </c>
      <c r="C64" s="227"/>
      <c r="D64" s="234">
        <f>'Ingreso de Datos'!F37</f>
        <v>1</v>
      </c>
      <c r="E64" s="235"/>
    </row>
    <row r="65" spans="2:5">
      <c r="B65" s="227" t="str">
        <f>'Ingreso de Datos'!B38:E38</f>
        <v>Medicinas Administradas en el Hospital</v>
      </c>
      <c r="C65" s="227"/>
      <c r="D65" s="234">
        <f>'Ingreso de Datos'!F38</f>
        <v>1</v>
      </c>
      <c r="E65" s="235"/>
    </row>
    <row r="66" spans="2:5">
      <c r="B66" s="227" t="str">
        <f>'Ingreso de Datos'!B39:E39</f>
        <v>Estudios de Diagnostico</v>
      </c>
      <c r="C66" s="227"/>
      <c r="D66" s="234">
        <f>'Ingreso de Datos'!F39</f>
        <v>1</v>
      </c>
      <c r="E66" s="235"/>
    </row>
    <row r="67" spans="2:5">
      <c r="B67" s="227" t="str">
        <f>'Ingreso de Datos'!B40:E40</f>
        <v>Cardiología Intervencionista</v>
      </c>
      <c r="C67" s="227"/>
      <c r="D67" s="234">
        <f>'Ingreso de Datos'!F40</f>
        <v>1</v>
      </c>
      <c r="E67" s="235"/>
    </row>
    <row r="68" spans="2:5">
      <c r="B68" s="227" t="str">
        <f>'Ingreso de Datos'!B41:E41</f>
        <v>Radiología Intervencionista</v>
      </c>
      <c r="C68" s="227"/>
      <c r="D68" s="234">
        <f>'Ingreso de Datos'!F41</f>
        <v>1</v>
      </c>
      <c r="E68" s="235"/>
    </row>
    <row r="69" spans="2:5">
      <c r="B69" s="227" t="str">
        <f>'Ingreso de Datos'!B42:E42</f>
        <v>Tratamientos Especializados en Dolor</v>
      </c>
      <c r="C69" s="227"/>
      <c r="D69" s="234">
        <f>'Ingreso de Datos'!F42</f>
        <v>1</v>
      </c>
      <c r="E69" s="235"/>
    </row>
    <row r="70" spans="2:5" ht="44.15" customHeight="1">
      <c r="B70" s="221" t="str">
        <f>'Ingreso de Datos'!B43:E43</f>
        <v>Consulta externa (Límite 5 consultas al año póliza por persona con médicos del HHLL) * por reembolso convencional</v>
      </c>
      <c r="C70" s="221"/>
      <c r="D70" s="234">
        <f>'Ingreso de Datos'!F43</f>
        <v>1</v>
      </c>
      <c r="E70" s="235"/>
    </row>
    <row r="71" spans="2:5">
      <c r="B71" s="227" t="str">
        <f>'Ingreso de Datos'!B45:E45</f>
        <v>Polisomnografia</v>
      </c>
      <c r="C71" s="227"/>
      <c r="D71" s="234">
        <f>'Ingreso de Datos'!F45</f>
        <v>1</v>
      </c>
      <c r="E71" s="235"/>
    </row>
    <row r="72" spans="2:5">
      <c r="B72" s="227" t="str">
        <f>'Ingreso de Datos'!B46:E46</f>
        <v>Laboratorio Clínico</v>
      </c>
      <c r="C72" s="227"/>
      <c r="D72" s="234">
        <f>'Ingreso de Datos'!F46</f>
        <v>1</v>
      </c>
      <c r="E72" s="235"/>
    </row>
    <row r="73" spans="2:5">
      <c r="B73" s="227" t="str">
        <f>'Ingreso de Datos'!B47:E47</f>
        <v>Radiología</v>
      </c>
      <c r="C73" s="227"/>
      <c r="D73" s="234">
        <f>'Ingreso de Datos'!F47</f>
        <v>1</v>
      </c>
      <c r="E73" s="235"/>
    </row>
    <row r="74" spans="2:5">
      <c r="B74" s="227" t="str">
        <f>'Ingreso de Datos'!B48:E48</f>
        <v>Tomografía</v>
      </c>
      <c r="C74" s="227"/>
      <c r="D74" s="234">
        <f>'Ingreso de Datos'!F48</f>
        <v>1</v>
      </c>
      <c r="E74" s="235"/>
    </row>
    <row r="75" spans="2:5">
      <c r="B75" s="227" t="str">
        <f>'Ingreso de Datos'!B49:E49</f>
        <v>Cardiología Diagnostica</v>
      </c>
      <c r="C75" s="227"/>
      <c r="D75" s="234">
        <f>'Ingreso de Datos'!F49</f>
        <v>1</v>
      </c>
      <c r="E75" s="235"/>
    </row>
    <row r="76" spans="2:5">
      <c r="B76" s="227" t="str">
        <f>'Ingreso de Datos'!B50:E50</f>
        <v>Endoscopía (Gastrointestinal, Urológica)</v>
      </c>
      <c r="C76" s="227"/>
      <c r="D76" s="234">
        <f>'Ingreso de Datos'!F50</f>
        <v>1</v>
      </c>
      <c r="E76" s="235"/>
    </row>
    <row r="77" spans="2:5">
      <c r="B77" s="227" t="str">
        <f>'Ingreso de Datos'!B51:E51</f>
        <v>Espirometría</v>
      </c>
      <c r="C77" s="227"/>
      <c r="D77" s="234">
        <f>'Ingreso de Datos'!F51</f>
        <v>1</v>
      </c>
      <c r="E77" s="235"/>
    </row>
    <row r="78" spans="2:5">
      <c r="B78" s="227" t="str">
        <f>'Ingreso de Datos'!B52:E52</f>
        <v>Ultrasonido</v>
      </c>
      <c r="C78" s="227"/>
      <c r="D78" s="234">
        <f>'Ingreso de Datos'!F52</f>
        <v>1</v>
      </c>
      <c r="E78" s="235"/>
    </row>
    <row r="79" spans="2:5">
      <c r="B79" s="227" t="str">
        <f>'Ingreso de Datos'!B53:E53</f>
        <v>Resonancia Magnética</v>
      </c>
      <c r="C79" s="227"/>
      <c r="D79" s="234">
        <f>'Ingreso de Datos'!F53</f>
        <v>1</v>
      </c>
      <c r="E79" s="235"/>
    </row>
    <row r="80" spans="2:5" ht="32.15" customHeight="1">
      <c r="B80" s="221" t="str">
        <f>'Ingreso de Datos'!B54:E54</f>
        <v>Tratamientos de Terapia Física o Respiratoria en el Hospital</v>
      </c>
      <c r="C80" s="221"/>
      <c r="D80" s="234">
        <f>'Ingreso de Datos'!F54</f>
        <v>1</v>
      </c>
      <c r="E80" s="235"/>
    </row>
    <row r="81" spans="2:33">
      <c r="B81" s="227" t="str">
        <f>'Ingreso de Datos'!B55:E55</f>
        <v>Tratamiento de Cáncer</v>
      </c>
      <c r="C81" s="227"/>
      <c r="D81" s="234">
        <f>'Ingreso de Datos'!F55</f>
        <v>1</v>
      </c>
      <c r="E81" s="235"/>
    </row>
    <row r="82" spans="2:33">
      <c r="B82" s="227" t="str">
        <f>'Ingreso de Datos'!B56:E56</f>
        <v>Diálisis y Hemodiálisis</v>
      </c>
      <c r="C82" s="227"/>
      <c r="D82" s="234">
        <f>'Ingreso de Datos'!F56</f>
        <v>1</v>
      </c>
      <c r="E82" s="235"/>
    </row>
    <row r="83" spans="2:33">
      <c r="B83" s="227" t="str">
        <f>'Ingreso de Datos'!B57:E57</f>
        <v>Cirugía Estética o Reconstructiva por Accidente</v>
      </c>
      <c r="C83" s="227"/>
      <c r="D83" s="234">
        <f>'Ingreso de Datos'!F57</f>
        <v>1</v>
      </c>
      <c r="E83" s="235"/>
    </row>
    <row r="84" spans="2:33">
      <c r="B84" s="227" t="str">
        <f>'Ingreso de Datos'!B58:E58</f>
        <v>Tratamiento Dental por Accidente</v>
      </c>
      <c r="C84" s="227"/>
      <c r="D84" s="234">
        <f>'Ingreso de Datos'!F58</f>
        <v>1</v>
      </c>
      <c r="E84" s="235"/>
    </row>
    <row r="85" spans="2:33" ht="30" customHeight="1">
      <c r="B85" s="221" t="str">
        <f>'Ingreso de Datos'!B59:E59</f>
        <v>Privilegio de Continuidad de Cobertura para Dependientes</v>
      </c>
      <c r="C85" s="221"/>
      <c r="D85" s="234" t="str">
        <f>'Ingreso de Datos'!F59</f>
        <v>Aplica</v>
      </c>
      <c r="E85" s="235"/>
    </row>
    <row r="86" spans="2:33">
      <c r="B86" s="227" t="str">
        <f>'Ingreso de Datos'!B60:E60</f>
        <v>BENEFICIOS EXCLUSIVOS</v>
      </c>
      <c r="C86" s="227"/>
      <c r="D86" s="234"/>
      <c r="E86" s="235"/>
    </row>
    <row r="87" spans="2:33">
      <c r="B87" s="227" t="str">
        <f>'Ingreso de Datos'!B61:E61</f>
        <v>Curso Baby Boom</v>
      </c>
      <c r="C87" s="227"/>
      <c r="D87" s="234" t="str">
        <f>'Ingreso de Datos'!F61</f>
        <v>Aplica</v>
      </c>
      <c r="E87" s="235"/>
    </row>
    <row r="88" spans="2:33">
      <c r="B88" s="227" t="str">
        <f>'Ingreso de Datos'!B62:E62</f>
        <v>Chequeo Médico Preventivo</v>
      </c>
      <c r="C88" s="227"/>
      <c r="D88" s="234" t="str">
        <f>'Ingreso de Datos'!F62</f>
        <v>Aplica</v>
      </c>
      <c r="E88" s="235"/>
    </row>
    <row r="89" spans="2:33">
      <c r="B89" s="196" t="s">
        <v>340</v>
      </c>
      <c r="C89" s="196"/>
      <c r="D89" s="233"/>
      <c r="E89" s="233"/>
      <c r="F89" s="122"/>
      <c r="G89" s="122"/>
      <c r="H89" s="122"/>
      <c r="I89" s="122"/>
      <c r="J89" s="122"/>
      <c r="K89" s="122"/>
      <c r="L89" s="122"/>
    </row>
    <row r="90" spans="2:33">
      <c r="B90" s="123" t="s">
        <v>162</v>
      </c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</row>
    <row r="91" spans="2:33" hidden="1"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</row>
    <row r="92" spans="2:33" hidden="1"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</row>
    <row r="93" spans="2:33"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</row>
    <row r="94" spans="2:33"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</row>
    <row r="95" spans="2:33">
      <c r="B95" s="206" t="s">
        <v>163</v>
      </c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</row>
    <row r="96" spans="2:33"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</row>
    <row r="97" spans="2:33"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</row>
    <row r="98" spans="2:33">
      <c r="B98" s="124" t="s">
        <v>164</v>
      </c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</row>
    <row r="99" spans="2:33">
      <c r="B99" s="125" t="s">
        <v>165</v>
      </c>
      <c r="C99" s="123"/>
      <c r="D99" s="123"/>
      <c r="E99" s="123"/>
      <c r="F99" s="122"/>
      <c r="G99" s="122"/>
      <c r="H99" s="123"/>
      <c r="I99" s="123"/>
      <c r="J99" s="123"/>
      <c r="K99" s="123"/>
      <c r="L99" s="123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</row>
    <row r="100" spans="2:33">
      <c r="B100" s="123"/>
      <c r="C100" s="126" t="s">
        <v>166</v>
      </c>
      <c r="D100" s="123"/>
      <c r="E100" s="123"/>
      <c r="F100" s="122"/>
      <c r="G100" s="122"/>
      <c r="H100" s="123"/>
      <c r="I100" s="123"/>
      <c r="J100" s="123"/>
      <c r="K100" s="123"/>
      <c r="L100" s="123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</row>
    <row r="101" spans="2:33">
      <c r="B101" s="123"/>
      <c r="C101" s="126" t="s">
        <v>167</v>
      </c>
      <c r="D101" s="123"/>
      <c r="E101" s="123"/>
      <c r="F101" s="122"/>
      <c r="G101" s="122"/>
      <c r="H101" s="123"/>
      <c r="I101" s="123"/>
      <c r="J101" s="123"/>
      <c r="K101" s="123"/>
      <c r="L101" s="123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</row>
    <row r="102" spans="2:33">
      <c r="B102" s="123"/>
      <c r="C102" s="126" t="s">
        <v>168</v>
      </c>
      <c r="D102" s="123"/>
      <c r="E102" s="123"/>
      <c r="F102" s="122"/>
      <c r="G102" s="122"/>
      <c r="H102" s="123"/>
      <c r="I102" s="123"/>
      <c r="J102" s="123"/>
      <c r="K102" s="123"/>
      <c r="L102" s="123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</row>
    <row r="103" spans="2:33">
      <c r="B103" s="123"/>
      <c r="C103" s="126" t="s">
        <v>169</v>
      </c>
      <c r="D103" s="123"/>
      <c r="E103" s="123"/>
      <c r="F103" s="122"/>
      <c r="G103" s="122"/>
      <c r="H103" s="123"/>
      <c r="I103" s="123"/>
      <c r="J103" s="123"/>
      <c r="K103" s="123"/>
      <c r="L103" s="123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</row>
    <row r="104" spans="2:33">
      <c r="B104" s="123"/>
      <c r="C104" s="126" t="s">
        <v>170</v>
      </c>
      <c r="D104" s="123"/>
      <c r="E104" s="123"/>
      <c r="F104" s="122"/>
      <c r="G104" s="122"/>
      <c r="H104" s="123"/>
      <c r="I104" s="123"/>
      <c r="J104" s="123"/>
      <c r="K104" s="123"/>
      <c r="L104" s="123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</row>
    <row r="105" spans="2:33">
      <c r="B105" s="123"/>
      <c r="C105" s="126" t="s">
        <v>171</v>
      </c>
      <c r="D105" s="123"/>
      <c r="E105" s="123"/>
      <c r="F105" s="122"/>
      <c r="G105" s="122"/>
      <c r="H105" s="123"/>
      <c r="I105" s="123"/>
      <c r="J105" s="123"/>
      <c r="K105" s="123"/>
      <c r="L105" s="123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</row>
    <row r="106" spans="2:33">
      <c r="B106" s="123"/>
      <c r="C106" s="126" t="s">
        <v>172</v>
      </c>
      <c r="D106" s="123"/>
      <c r="E106" s="123"/>
      <c r="F106" s="122"/>
      <c r="G106" s="122"/>
      <c r="H106" s="123"/>
      <c r="I106" s="123"/>
      <c r="J106" s="123"/>
      <c r="K106" s="123"/>
      <c r="L106" s="123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</row>
    <row r="107" spans="2:33">
      <c r="B107" s="123"/>
      <c r="C107" s="126" t="s">
        <v>173</v>
      </c>
      <c r="D107" s="123"/>
      <c r="E107" s="123"/>
      <c r="F107" s="122"/>
      <c r="G107" s="122"/>
      <c r="H107" s="123"/>
      <c r="I107" s="123"/>
      <c r="J107" s="123"/>
      <c r="K107" s="123"/>
      <c r="L107" s="123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</row>
    <row r="108" spans="2:33">
      <c r="B108" s="123" t="s">
        <v>174</v>
      </c>
      <c r="C108" s="123"/>
      <c r="D108" s="123"/>
      <c r="E108" s="123"/>
      <c r="F108" s="122"/>
      <c r="G108" s="122"/>
      <c r="H108" s="123"/>
      <c r="I108" s="123"/>
      <c r="J108" s="123"/>
      <c r="K108" s="123"/>
      <c r="L108" s="123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</row>
    <row r="109" spans="2:33">
      <c r="B109" s="124" t="s">
        <v>175</v>
      </c>
      <c r="C109" s="123"/>
      <c r="D109" s="123"/>
      <c r="E109" s="123"/>
      <c r="F109" s="122"/>
      <c r="G109" s="122"/>
      <c r="H109" s="123"/>
      <c r="I109" s="123"/>
      <c r="J109" s="123"/>
      <c r="K109" s="123"/>
      <c r="L109" s="123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</row>
    <row r="110" spans="2:33">
      <c r="B110" s="123"/>
      <c r="C110" s="126" t="s">
        <v>176</v>
      </c>
      <c r="D110" s="123"/>
      <c r="E110" s="123"/>
      <c r="F110" s="122"/>
      <c r="G110" s="122"/>
      <c r="H110" s="123"/>
      <c r="I110" s="123"/>
      <c r="J110" s="123"/>
      <c r="K110" s="123"/>
      <c r="L110" s="123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</row>
    <row r="111" spans="2:33">
      <c r="B111" s="123"/>
      <c r="C111" s="126" t="s">
        <v>177</v>
      </c>
      <c r="D111" s="123"/>
      <c r="E111" s="123"/>
      <c r="F111" s="122"/>
      <c r="G111" s="122"/>
      <c r="H111" s="123"/>
      <c r="I111" s="123"/>
      <c r="J111" s="123"/>
      <c r="K111" s="123"/>
      <c r="L111" s="123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</row>
    <row r="112" spans="2:33">
      <c r="B112" s="123"/>
      <c r="C112" s="126" t="s">
        <v>178</v>
      </c>
      <c r="D112" s="123"/>
      <c r="E112" s="123"/>
      <c r="F112" s="122"/>
      <c r="G112" s="122"/>
      <c r="H112" s="123"/>
      <c r="I112" s="123"/>
      <c r="J112" s="123"/>
      <c r="K112" s="123"/>
      <c r="L112" s="123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</row>
    <row r="113" spans="2:33">
      <c r="B113" s="123"/>
      <c r="C113" s="126" t="s">
        <v>179</v>
      </c>
      <c r="D113" s="123"/>
      <c r="E113" s="123"/>
      <c r="F113" s="122"/>
      <c r="G113" s="122"/>
      <c r="H113" s="123"/>
      <c r="I113" s="123"/>
      <c r="J113" s="123"/>
      <c r="K113" s="123"/>
      <c r="L113" s="123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</row>
    <row r="114" spans="2:33">
      <c r="B114" s="123"/>
      <c r="C114" s="126" t="s">
        <v>180</v>
      </c>
      <c r="D114" s="123"/>
      <c r="E114" s="123"/>
      <c r="F114" s="122"/>
      <c r="G114" s="122"/>
      <c r="H114" s="123"/>
      <c r="I114" s="123"/>
      <c r="J114" s="123"/>
      <c r="K114" s="123"/>
      <c r="L114" s="123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</row>
    <row r="115" spans="2:33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</row>
    <row r="116" spans="2:33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</row>
    <row r="117" spans="2:33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</row>
    <row r="118" spans="2:33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</row>
    <row r="119" spans="2:33" hidden="1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</row>
  </sheetData>
  <sheetProtection algorithmName="SHA-512" hashValue="J9KwN6XB3hN8ONNywId+lpcBOxnIyGj0ktgYD9MBVc3qKeVJUcXIBRGF9ZtKOOGGGlEvK2Y/i+wiB26l9oSWTQ==" saltValue="x84s3ms3QWHuMK138/4dSw==" spinCount="100000" sheet="1" objects="1" scenarios="1" selectLockedCells="1"/>
  <mergeCells count="117">
    <mergeCell ref="D76:E76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B70:C70"/>
    <mergeCell ref="B71:C71"/>
    <mergeCell ref="B72:C72"/>
    <mergeCell ref="B73:C73"/>
    <mergeCell ref="B74:C74"/>
    <mergeCell ref="B75:C75"/>
    <mergeCell ref="B64:C64"/>
    <mergeCell ref="B65:C65"/>
    <mergeCell ref="D28:E28"/>
    <mergeCell ref="D71:E71"/>
    <mergeCell ref="D72:E72"/>
    <mergeCell ref="D73:E73"/>
    <mergeCell ref="D74:E74"/>
    <mergeCell ref="D75:E75"/>
    <mergeCell ref="D54:E54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88:C88"/>
    <mergeCell ref="B89:C89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D89:E89"/>
    <mergeCell ref="D83:E83"/>
    <mergeCell ref="D84:E84"/>
    <mergeCell ref="D85:E85"/>
    <mergeCell ref="D86:E86"/>
    <mergeCell ref="D87:E87"/>
    <mergeCell ref="D88:E88"/>
    <mergeCell ref="D77:E77"/>
    <mergeCell ref="D78:E78"/>
    <mergeCell ref="D79:E79"/>
    <mergeCell ref="D80:E80"/>
    <mergeCell ref="D81:E81"/>
    <mergeCell ref="D82:E82"/>
    <mergeCell ref="B63:C63"/>
    <mergeCell ref="D55:E55"/>
    <mergeCell ref="B57:C57"/>
    <mergeCell ref="D45:E45"/>
    <mergeCell ref="D46:E46"/>
    <mergeCell ref="D47:E47"/>
    <mergeCell ref="D48:E48"/>
    <mergeCell ref="D49:E49"/>
    <mergeCell ref="D50:E50"/>
    <mergeCell ref="D57:E57"/>
    <mergeCell ref="B50:C50"/>
    <mergeCell ref="B32:C32"/>
    <mergeCell ref="B38:C38"/>
    <mergeCell ref="B39:C39"/>
    <mergeCell ref="B37:C37"/>
    <mergeCell ref="D37:E37"/>
    <mergeCell ref="B43:C43"/>
    <mergeCell ref="B45:C45"/>
    <mergeCell ref="B49:C49"/>
    <mergeCell ref="B53:C53"/>
    <mergeCell ref="D41:E41"/>
    <mergeCell ref="D42:E42"/>
    <mergeCell ref="D43:E43"/>
    <mergeCell ref="D44:E44"/>
    <mergeCell ref="D51:E51"/>
    <mergeCell ref="D52:E52"/>
    <mergeCell ref="D53:E53"/>
    <mergeCell ref="B40:C40"/>
    <mergeCell ref="B94:L94"/>
    <mergeCell ref="B95:L95"/>
    <mergeCell ref="B5:C5"/>
    <mergeCell ref="D33:E33"/>
    <mergeCell ref="B33:C33"/>
    <mergeCell ref="B34:C34"/>
    <mergeCell ref="B35:C35"/>
    <mergeCell ref="B36:C36"/>
    <mergeCell ref="D29:E29"/>
    <mergeCell ref="D30:E30"/>
    <mergeCell ref="D31:E31"/>
    <mergeCell ref="D32:E32"/>
    <mergeCell ref="B13:I15"/>
    <mergeCell ref="D34:E34"/>
    <mergeCell ref="D35:E35"/>
    <mergeCell ref="D36:E36"/>
    <mergeCell ref="D38:E38"/>
    <mergeCell ref="D39:E39"/>
    <mergeCell ref="D40:E40"/>
    <mergeCell ref="B55:C55"/>
    <mergeCell ref="B28:C28"/>
    <mergeCell ref="B29:C29"/>
    <mergeCell ref="B30:C30"/>
    <mergeCell ref="B31:C31"/>
  </mergeCells>
  <pageMargins left="0.7" right="0.7" top="0.75" bottom="0.75" header="0.3" footer="0.3"/>
  <pageSetup scale="66" orientation="portrait" r:id="rId1"/>
  <rowBreaks count="1" manualBreakCount="1">
    <brk id="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9"/>
  <sheetViews>
    <sheetView showGridLines="0" showRowColHeaders="0" zoomScale="80" zoomScaleNormal="80" workbookViewId="0">
      <selection activeCell="K14" sqref="K14"/>
    </sheetView>
  </sheetViews>
  <sheetFormatPr baseColWidth="10" defaultColWidth="0" defaultRowHeight="14.5" zeroHeight="1"/>
  <cols>
    <col min="1" max="1" width="4.26953125" style="60" customWidth="1"/>
    <col min="2" max="2" width="12.54296875" style="60" customWidth="1"/>
    <col min="3" max="3" width="13.453125" style="60" bestFit="1" customWidth="1"/>
    <col min="4" max="4" width="14" style="60" customWidth="1"/>
    <col min="5" max="5" width="13.453125" style="60" bestFit="1" customWidth="1"/>
    <col min="6" max="6" width="15.54296875" style="60" customWidth="1"/>
    <col min="7" max="7" width="16.26953125" style="60" customWidth="1"/>
    <col min="8" max="8" width="13.7265625" style="60" customWidth="1"/>
    <col min="9" max="9" width="18.81640625" style="60" customWidth="1"/>
    <col min="10" max="11" width="10.81640625" style="60" customWidth="1"/>
    <col min="12" max="12" width="10.81640625" customWidth="1"/>
    <col min="13" max="18" width="10.81640625" hidden="1" customWidth="1"/>
    <col min="19" max="19" width="12.26953125" hidden="1" customWidth="1"/>
    <col min="20" max="25" width="0" hidden="1" customWidth="1"/>
    <col min="26" max="16384" width="10.81640625" hidden="1"/>
  </cols>
  <sheetData>
    <row r="1" spans="2:25">
      <c r="L1" s="60"/>
    </row>
    <row r="2" spans="2:25">
      <c r="L2" s="60"/>
    </row>
    <row r="3" spans="2:25">
      <c r="L3" s="60"/>
    </row>
    <row r="4" spans="2:25">
      <c r="L4" s="60"/>
    </row>
    <row r="5" spans="2:25">
      <c r="B5" s="60" t="str">
        <f>'Ingreso de Datos'!$C$7</f>
        <v>Señor</v>
      </c>
      <c r="H5" s="265">
        <f ca="1">TODAY()</f>
        <v>44714</v>
      </c>
      <c r="I5" s="265"/>
      <c r="L5" s="60"/>
    </row>
    <row r="6" spans="2:25">
      <c r="B6" s="60" t="str">
        <f>'Ingreso de Datos'!C9</f>
        <v>Cliente interesado</v>
      </c>
      <c r="L6" s="60"/>
    </row>
    <row r="7" spans="2:25">
      <c r="B7" s="60" t="s">
        <v>139</v>
      </c>
      <c r="L7" s="60"/>
    </row>
    <row r="8" spans="2:25">
      <c r="L8" s="60"/>
    </row>
    <row r="9" spans="2:25" ht="15.5">
      <c r="B9" s="254" t="s">
        <v>150</v>
      </c>
      <c r="C9" s="254"/>
      <c r="D9" s="254"/>
      <c r="E9" s="254"/>
      <c r="F9" s="254"/>
      <c r="G9" s="254"/>
      <c r="H9" s="254"/>
      <c r="I9" s="111"/>
      <c r="J9" s="111"/>
      <c r="L9" s="60"/>
    </row>
    <row r="10" spans="2:25">
      <c r="L10" s="60"/>
    </row>
    <row r="11" spans="2:25" ht="15.5">
      <c r="B11" s="112" t="s">
        <v>342</v>
      </c>
      <c r="C11" s="113">
        <f>'Ingreso de Datos'!$C$11</f>
        <v>53</v>
      </c>
      <c r="D11" s="112" t="s">
        <v>343</v>
      </c>
      <c r="E11" s="114" t="str">
        <f>IF('Ingreso de Datos'!$C$13&gt;0,'Ingreso de Datos'!$C$13," ")</f>
        <v xml:space="preserve"> </v>
      </c>
      <c r="F11" s="112" t="s">
        <v>151</v>
      </c>
      <c r="G11" s="115" t="str">
        <f>IF('Ingreso de Datos'!C15&gt;0,'Ingreso de Datos'!$C$15," ")</f>
        <v>Sin Hijos</v>
      </c>
      <c r="H11" s="116"/>
      <c r="J11" s="116"/>
      <c r="K11" s="116"/>
      <c r="L11" s="116"/>
      <c r="M11" s="255"/>
      <c r="N11" s="256"/>
      <c r="O11" s="256"/>
      <c r="P11" s="47"/>
      <c r="R11" s="47"/>
      <c r="S11" s="256"/>
      <c r="T11" s="256"/>
      <c r="U11" s="256"/>
      <c r="V11" s="256"/>
      <c r="W11" s="47"/>
      <c r="X11" s="47"/>
      <c r="Y11" s="47"/>
    </row>
    <row r="12" spans="2:25" ht="15.5"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2:25" ht="15.5">
      <c r="B13" s="252" t="s">
        <v>152</v>
      </c>
      <c r="C13" s="252"/>
      <c r="D13" s="252"/>
      <c r="E13" s="116"/>
      <c r="F13" s="112" t="s">
        <v>153</v>
      </c>
      <c r="G13" s="116" t="str">
        <f>'Ingreso de Datos'!C21</f>
        <v>NO</v>
      </c>
      <c r="H13" s="116"/>
      <c r="I13" s="116"/>
      <c r="J13" s="116"/>
      <c r="K13" s="116"/>
      <c r="L13" s="116"/>
      <c r="M13" s="47"/>
      <c r="N13" s="47"/>
      <c r="O13" s="47"/>
      <c r="P13" s="47"/>
      <c r="R13" s="47"/>
      <c r="S13" s="47"/>
      <c r="T13" s="47"/>
      <c r="U13" s="47">
        <f>'[1]Ingreso Datos'!F20</f>
        <v>0</v>
      </c>
      <c r="V13" s="47"/>
      <c r="W13" s="47"/>
      <c r="X13" s="47"/>
      <c r="Y13" s="47"/>
    </row>
    <row r="14" spans="2:25" ht="15.5">
      <c r="B14" s="116"/>
      <c r="C14" s="253" t="s">
        <v>181</v>
      </c>
      <c r="D14" s="253"/>
      <c r="E14" s="253"/>
      <c r="F14" s="253"/>
      <c r="G14" s="253"/>
      <c r="H14" s="59"/>
      <c r="I14" s="59"/>
      <c r="J14" s="59"/>
      <c r="L14" s="60"/>
      <c r="M14" s="60"/>
      <c r="N14" s="60"/>
      <c r="O14" s="60"/>
      <c r="P14" s="60"/>
      <c r="Q14" s="60"/>
    </row>
    <row r="15" spans="2:25" ht="15.5">
      <c r="B15" s="116"/>
      <c r="C15" s="133">
        <v>10000</v>
      </c>
      <c r="D15" s="133">
        <v>15000</v>
      </c>
      <c r="E15" s="133">
        <v>20000</v>
      </c>
      <c r="F15" s="133">
        <v>30000</v>
      </c>
      <c r="G15" s="133">
        <v>45000</v>
      </c>
      <c r="H15" s="57"/>
      <c r="I15" s="57"/>
      <c r="J15" s="57"/>
      <c r="K15" s="49"/>
      <c r="L15" s="57"/>
      <c r="M15" s="57"/>
      <c r="N15" s="57"/>
      <c r="O15" s="49"/>
      <c r="P15" s="57"/>
      <c r="Q15" s="57"/>
      <c r="R15" s="57"/>
      <c r="S15" s="49"/>
      <c r="T15" s="57"/>
      <c r="U15" s="57"/>
      <c r="V15" s="57"/>
      <c r="W15" s="49"/>
      <c r="X15" s="49"/>
      <c r="Y15" s="49"/>
    </row>
    <row r="16" spans="2:25" ht="15.5">
      <c r="B16" s="116"/>
      <c r="C16" s="134">
        <v>10000</v>
      </c>
      <c r="D16" s="134">
        <v>15000</v>
      </c>
      <c r="E16" s="134">
        <v>20000</v>
      </c>
      <c r="F16" s="134">
        <v>30000</v>
      </c>
      <c r="G16" s="134">
        <v>45000</v>
      </c>
      <c r="H16" s="58"/>
      <c r="I16" s="58"/>
      <c r="J16" s="58"/>
      <c r="K16" s="49"/>
      <c r="L16" s="58"/>
      <c r="M16" s="58"/>
      <c r="N16" s="58"/>
      <c r="O16" s="49"/>
      <c r="P16" s="58"/>
      <c r="Q16" s="58"/>
      <c r="R16" s="58"/>
      <c r="S16" s="49"/>
      <c r="T16" s="58"/>
      <c r="U16" s="58"/>
      <c r="V16" s="58"/>
      <c r="W16" s="49"/>
      <c r="X16" s="49"/>
      <c r="Y16" s="49"/>
    </row>
    <row r="17" spans="2:25" ht="15.5" hidden="1">
      <c r="B17" s="116" t="s">
        <v>154</v>
      </c>
      <c r="C17" s="117">
        <f>'calculos 2'!C15</f>
        <v>9275.547384984302</v>
      </c>
      <c r="D17" s="117">
        <f>'calculos 2'!D15</f>
        <v>8679.5934654990579</v>
      </c>
      <c r="E17" s="117">
        <f>'calculos 2'!E15</f>
        <v>7715.83310607371</v>
      </c>
      <c r="F17" s="117">
        <f>'calculos 2'!F15</f>
        <v>5502.9671207477495</v>
      </c>
      <c r="G17" s="117">
        <f>'calculos 2'!G15</f>
        <v>3314.500257389082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2:25" ht="15.5" hidden="1">
      <c r="B18" s="116" t="s">
        <v>155</v>
      </c>
      <c r="C18" s="117">
        <f>C17*5%</f>
        <v>463.7773692492151</v>
      </c>
      <c r="D18" s="117">
        <f t="shared" ref="D18:G18" si="0">D17*5%</f>
        <v>433.97967327495292</v>
      </c>
      <c r="E18" s="117">
        <f t="shared" si="0"/>
        <v>385.7916553036855</v>
      </c>
      <c r="F18" s="117">
        <f t="shared" si="0"/>
        <v>275.14835603738749</v>
      </c>
      <c r="G18" s="117">
        <f t="shared" si="0"/>
        <v>165.7250128694541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spans="2:25" ht="15.5" hidden="1">
      <c r="B19" s="116" t="s">
        <v>156</v>
      </c>
      <c r="C19" s="117">
        <f>(C17+C18)*12%</f>
        <v>1168.718970508022</v>
      </c>
      <c r="D19" s="117">
        <f t="shared" ref="D19:G19" si="1">(D17+D18)*12%</f>
        <v>1093.6287766528812</v>
      </c>
      <c r="E19" s="117">
        <f t="shared" si="1"/>
        <v>972.19497136528742</v>
      </c>
      <c r="F19" s="117">
        <f t="shared" si="1"/>
        <v>693.3738572142164</v>
      </c>
      <c r="G19" s="117">
        <f t="shared" si="1"/>
        <v>417.6270324310243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2:25" ht="15.5">
      <c r="B20" s="112" t="s">
        <v>157</v>
      </c>
      <c r="C20" s="117">
        <f>C17+C18+C19</f>
        <v>10908.043724741539</v>
      </c>
      <c r="D20" s="117">
        <f>D17+D18+D19</f>
        <v>10207.201915426893</v>
      </c>
      <c r="E20" s="117">
        <f t="shared" ref="E20:G20" si="2">E17+E18+E19</f>
        <v>9073.8197327426824</v>
      </c>
      <c r="F20" s="117">
        <f t="shared" si="2"/>
        <v>6471.4893339993532</v>
      </c>
      <c r="G20" s="117">
        <f t="shared" si="2"/>
        <v>3897.8523026895605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 spans="2:25" ht="15.5" hidden="1">
      <c r="B21" s="116" t="s">
        <v>154</v>
      </c>
      <c r="C21" s="117">
        <f>(C17*(1+TARIFAS!$C$29))/2</f>
        <v>4730.5291663419939</v>
      </c>
      <c r="D21" s="117">
        <f>(D17*(1+TARIFAS!$C$29))/2</f>
        <v>4426.5926674045195</v>
      </c>
      <c r="E21" s="117">
        <f>(E17*(1+TARIFAS!$C$29))/2</f>
        <v>3935.0748840975921</v>
      </c>
      <c r="F21" s="117">
        <f>(F17*(1+TARIFAS!$C$29))/2</f>
        <v>2806.5132315813521</v>
      </c>
      <c r="G21" s="117">
        <f>(G17*(1+TARIFAS!$C$29))/2</f>
        <v>1690.3951312684319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 spans="2:25" ht="15.5" hidden="1">
      <c r="B22" s="116" t="s">
        <v>155</v>
      </c>
      <c r="C22" s="117">
        <f>C21*5%</f>
        <v>236.5264583170997</v>
      </c>
      <c r="D22" s="117">
        <f t="shared" ref="D22" si="3">D21*5%</f>
        <v>221.32963337022599</v>
      </c>
      <c r="E22" s="117">
        <f t="shared" ref="E22" si="4">E21*5%</f>
        <v>196.75374420487961</v>
      </c>
      <c r="F22" s="117">
        <f t="shared" ref="F22" si="5">F21*5%</f>
        <v>140.3256615790676</v>
      </c>
      <c r="G22" s="117">
        <f t="shared" ref="G22" si="6">G21*5%</f>
        <v>84.519756563421595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2:25" ht="15.5" hidden="1">
      <c r="B23" s="116" t="s">
        <v>156</v>
      </c>
      <c r="C23" s="117">
        <f>(C21+C22)*12%</f>
        <v>596.04667495909121</v>
      </c>
      <c r="D23" s="117">
        <f t="shared" ref="D23" si="7">(D21+D22)*12%</f>
        <v>557.75067609296934</v>
      </c>
      <c r="E23" s="117">
        <f t="shared" ref="E23" si="8">(E21+E22)*12%</f>
        <v>495.81943539629657</v>
      </c>
      <c r="F23" s="117">
        <f t="shared" ref="F23" si="9">(F21+F22)*12%</f>
        <v>353.62066717925035</v>
      </c>
      <c r="G23" s="117">
        <f t="shared" ref="G23" si="10">(G21+G22)*12%</f>
        <v>212.9897865398224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 spans="2:25" ht="15.5">
      <c r="B24" s="112" t="s">
        <v>158</v>
      </c>
      <c r="C24" s="117">
        <f>C21+C22+C23</f>
        <v>5563.1022996181846</v>
      </c>
      <c r="D24" s="117">
        <f t="shared" ref="D24" si="11">D21+D22+D23</f>
        <v>5205.6729768677142</v>
      </c>
      <c r="E24" s="117">
        <f t="shared" ref="E24" si="12">E21+E22+E23</f>
        <v>4627.6480636987681</v>
      </c>
      <c r="F24" s="117">
        <f t="shared" ref="F24" si="13">F21+F22+F23</f>
        <v>3300.4595603396697</v>
      </c>
      <c r="G24" s="117">
        <f t="shared" ref="G24" si="14">G21+G22+G23</f>
        <v>1987.904674371676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spans="2:25" ht="15.5" hidden="1">
      <c r="B25" s="116" t="s">
        <v>154</v>
      </c>
      <c r="C25" s="117">
        <f>(C17*(1+TARIFAS!$C$30))/4</f>
        <v>2411.6423200959184</v>
      </c>
      <c r="D25" s="117">
        <f>(D17*(1+TARIFAS!$C$30))/4</f>
        <v>2256.694301029755</v>
      </c>
      <c r="E25" s="117">
        <f>(E17*(1+TARIFAS!$C$30))/4</f>
        <v>2006.1166075791648</v>
      </c>
      <c r="F25" s="117">
        <f>(F17*(1+TARIFAS!$C$30))/4</f>
        <v>1430.771451394415</v>
      </c>
      <c r="G25" s="117">
        <f>(G17*(1+TARIFAS!$C$30))/4</f>
        <v>861.77006692116129</v>
      </c>
      <c r="L25" s="60"/>
    </row>
    <row r="26" spans="2:25" ht="15.5" hidden="1">
      <c r="B26" s="116" t="s">
        <v>155</v>
      </c>
      <c r="C26" s="117">
        <f>C25*5%</f>
        <v>120.58211600479592</v>
      </c>
      <c r="D26" s="117">
        <f t="shared" ref="D26" si="15">D25*5%</f>
        <v>112.83471505148776</v>
      </c>
      <c r="E26" s="117">
        <f t="shared" ref="E26" si="16">E25*5%</f>
        <v>100.30583037895825</v>
      </c>
      <c r="F26" s="117">
        <f t="shared" ref="F26" si="17">F25*5%</f>
        <v>71.538572569720756</v>
      </c>
      <c r="G26" s="117">
        <f t="shared" ref="G26" si="18">G25*5%</f>
        <v>43.088503346058069</v>
      </c>
      <c r="L26" s="60"/>
    </row>
    <row r="27" spans="2:25" ht="15.5" hidden="1">
      <c r="B27" s="116" t="s">
        <v>156</v>
      </c>
      <c r="C27" s="117">
        <f>(C25+C26)*12%</f>
        <v>303.8669323320857</v>
      </c>
      <c r="D27" s="117">
        <f t="shared" ref="D27" si="19">(D25+D26)*12%</f>
        <v>284.34348192974915</v>
      </c>
      <c r="E27" s="117">
        <f t="shared" ref="E27" si="20">(E25+E26)*12%</f>
        <v>252.77069255497474</v>
      </c>
      <c r="F27" s="117">
        <f t="shared" ref="F27" si="21">(F25+F26)*12%</f>
        <v>180.27720287569628</v>
      </c>
      <c r="G27" s="117">
        <f t="shared" ref="G27" si="22">(G25+G26)*12%</f>
        <v>108.58302843206631</v>
      </c>
      <c r="L27" s="60"/>
    </row>
    <row r="28" spans="2:25" ht="15.5">
      <c r="B28" s="112" t="s">
        <v>159</v>
      </c>
      <c r="C28" s="117">
        <f>C25+C26+C27</f>
        <v>2836.0913684327998</v>
      </c>
      <c r="D28" s="117">
        <f t="shared" ref="D28" si="23">D25+D26+D27</f>
        <v>2653.8724980109919</v>
      </c>
      <c r="E28" s="117">
        <f t="shared" ref="E28" si="24">E25+E26+E27</f>
        <v>2359.1931305130975</v>
      </c>
      <c r="F28" s="117">
        <f t="shared" ref="F28" si="25">F25+F26+F27</f>
        <v>1682.5872268398321</v>
      </c>
      <c r="G28" s="117">
        <f t="shared" ref="G28" si="26">G25+G26+G27</f>
        <v>1013.4415986992856</v>
      </c>
      <c r="L28" s="60"/>
    </row>
    <row r="29" spans="2:25" ht="15.5" hidden="1">
      <c r="B29" s="116" t="s">
        <v>154</v>
      </c>
      <c r="C29" s="117">
        <f>(C17*(1+TARIFAS!$C$31))/12</f>
        <v>834.79926464858727</v>
      </c>
      <c r="D29" s="117">
        <f>(D17*(1+TARIFAS!$C$31))/12</f>
        <v>781.16341189491516</v>
      </c>
      <c r="E29" s="117">
        <f>(E17*(1+TARIFAS!$C$31))/12</f>
        <v>694.42497954663395</v>
      </c>
      <c r="F29" s="117">
        <f>(F17*(1+TARIFAS!$C$31))/12</f>
        <v>495.26704086729751</v>
      </c>
      <c r="G29" s="117">
        <f>(G17*(1+TARIFAS!$C$31))/12</f>
        <v>298.30502316501742</v>
      </c>
      <c r="L29" s="60"/>
    </row>
    <row r="30" spans="2:25" ht="15.5" hidden="1">
      <c r="B30" s="116" t="s">
        <v>155</v>
      </c>
      <c r="C30" s="117">
        <f>C29*5%</f>
        <v>41.739963232429368</v>
      </c>
      <c r="D30" s="117">
        <f t="shared" ref="D30" si="27">D29*5%</f>
        <v>39.058170594745761</v>
      </c>
      <c r="E30" s="117">
        <f t="shared" ref="E30" si="28">E29*5%</f>
        <v>34.721248977331697</v>
      </c>
      <c r="F30" s="117">
        <f t="shared" ref="F30" si="29">F29*5%</f>
        <v>24.763352043364875</v>
      </c>
      <c r="G30" s="117">
        <f t="shared" ref="G30" si="30">G29*5%</f>
        <v>14.915251158250872</v>
      </c>
      <c r="L30" s="60"/>
    </row>
    <row r="31" spans="2:25" ht="15.5" hidden="1">
      <c r="B31" s="116" t="s">
        <v>156</v>
      </c>
      <c r="C31" s="117">
        <f>(C29+C30)*12%</f>
        <v>105.18470734572199</v>
      </c>
      <c r="D31" s="117">
        <f t="shared" ref="D31" si="31">(D29+D30)*12%</f>
        <v>98.426589898759303</v>
      </c>
      <c r="E31" s="117">
        <f t="shared" ref="E31" si="32">(E29+E30)*12%</f>
        <v>87.497547422875869</v>
      </c>
      <c r="F31" s="117">
        <f t="shared" ref="F31" si="33">(F29+F30)*12%</f>
        <v>62.403647149279486</v>
      </c>
      <c r="G31" s="117">
        <f t="shared" ref="G31" si="34">(G29+G30)*12%</f>
        <v>37.586432918792198</v>
      </c>
      <c r="L31" s="60"/>
    </row>
    <row r="32" spans="2:25" ht="15.5">
      <c r="B32" s="112" t="s">
        <v>160</v>
      </c>
      <c r="C32" s="117">
        <f>C29+C30+C31</f>
        <v>981.7239352267386</v>
      </c>
      <c r="D32" s="117">
        <f t="shared" ref="D32" si="35">D29+D30+D31</f>
        <v>918.64817238842022</v>
      </c>
      <c r="E32" s="117">
        <f t="shared" ref="E32" si="36">E29+E30+E31</f>
        <v>816.64377594684152</v>
      </c>
      <c r="F32" s="117">
        <f t="shared" ref="F32" si="37">F29+F30+F31</f>
        <v>582.43404005994182</v>
      </c>
      <c r="G32" s="117">
        <f t="shared" ref="G32" si="38">G29+G30+G31</f>
        <v>350.8067072420605</v>
      </c>
      <c r="L32" s="60"/>
    </row>
    <row r="33" spans="2:12" ht="15.5">
      <c r="B33" s="116"/>
      <c r="C33" s="116"/>
      <c r="D33" s="116"/>
      <c r="E33" s="116"/>
      <c r="L33" s="60"/>
    </row>
    <row r="34" spans="2:12" ht="15.5">
      <c r="B34" s="116"/>
      <c r="C34" s="257" t="s">
        <v>182</v>
      </c>
      <c r="D34" s="257"/>
      <c r="E34" s="257"/>
      <c r="F34" s="257"/>
      <c r="G34" s="257"/>
      <c r="L34" s="60"/>
    </row>
    <row r="35" spans="2:12" ht="15.5">
      <c r="B35" s="116"/>
      <c r="C35" s="133">
        <v>10000</v>
      </c>
      <c r="D35" s="133">
        <v>15000</v>
      </c>
      <c r="E35" s="133">
        <v>20000</v>
      </c>
      <c r="F35" s="133">
        <v>30000</v>
      </c>
      <c r="G35" s="133">
        <v>45000</v>
      </c>
      <c r="L35" s="60"/>
    </row>
    <row r="36" spans="2:12" ht="15.5">
      <c r="B36" s="116"/>
      <c r="C36" s="134">
        <v>10000</v>
      </c>
      <c r="D36" s="134">
        <v>15000</v>
      </c>
      <c r="E36" s="134">
        <v>20000</v>
      </c>
      <c r="F36" s="134">
        <v>30000</v>
      </c>
      <c r="G36" s="134">
        <v>45000</v>
      </c>
      <c r="L36" s="60"/>
    </row>
    <row r="37" spans="2:12" ht="15.5" hidden="1">
      <c r="B37" s="116" t="s">
        <v>154</v>
      </c>
      <c r="C37" s="117">
        <f>'calculos 2'!C29</f>
        <v>5731.7433533124786</v>
      </c>
      <c r="D37" s="117">
        <f>'calculos 2'!D29</f>
        <v>5363.4788428621514</v>
      </c>
      <c r="E37" s="117">
        <f>'calculos 2'!E29</f>
        <v>4767.9315608478455</v>
      </c>
      <c r="F37" s="117">
        <f>'calculos 2'!F29</f>
        <v>3400.5103859319456</v>
      </c>
      <c r="G37" s="117">
        <f>'calculos 2'!G29</f>
        <v>2048.1664349639382</v>
      </c>
      <c r="L37" s="60"/>
    </row>
    <row r="38" spans="2:12" ht="15.5" hidden="1">
      <c r="B38" s="116" t="s">
        <v>155</v>
      </c>
      <c r="C38" s="117">
        <f>C37*5%</f>
        <v>286.58716766562395</v>
      </c>
      <c r="D38" s="117">
        <f t="shared" ref="D38" si="39">D37*5%</f>
        <v>268.17394214310758</v>
      </c>
      <c r="E38" s="117">
        <f t="shared" ref="E38" si="40">E37*5%</f>
        <v>238.39657804239229</v>
      </c>
      <c r="F38" s="117">
        <f t="shared" ref="F38" si="41">F37*5%</f>
        <v>170.02551929659728</v>
      </c>
      <c r="G38" s="117">
        <f t="shared" ref="G38" si="42">G37*5%</f>
        <v>102.40832174819691</v>
      </c>
      <c r="L38" s="60"/>
    </row>
    <row r="39" spans="2:12" ht="15.5" hidden="1">
      <c r="B39" s="116" t="s">
        <v>156</v>
      </c>
      <c r="C39" s="117">
        <f>(C37+C38)*12%</f>
        <v>722.1996625173723</v>
      </c>
      <c r="D39" s="117">
        <f t="shared" ref="D39" si="43">(D37+D38)*12%</f>
        <v>675.79833420063107</v>
      </c>
      <c r="E39" s="117">
        <f t="shared" ref="E39" si="44">(E37+E38)*12%</f>
        <v>600.75937666682853</v>
      </c>
      <c r="F39" s="117">
        <f t="shared" ref="F39" si="45">(F37+F38)*12%</f>
        <v>428.46430862742517</v>
      </c>
      <c r="G39" s="117">
        <f t="shared" ref="G39" si="46">(G37+G38)*12%</f>
        <v>258.06897080545622</v>
      </c>
      <c r="L39" s="60"/>
    </row>
    <row r="40" spans="2:12" s="60" customFormat="1" ht="15.5">
      <c r="B40" s="112" t="s">
        <v>157</v>
      </c>
      <c r="C40" s="117">
        <f>C37+C38+C39</f>
        <v>6740.5301834954753</v>
      </c>
      <c r="D40" s="117">
        <f t="shared" ref="D40" si="47">D37+D38+D39</f>
        <v>6307.4511192058899</v>
      </c>
      <c r="E40" s="117">
        <f t="shared" ref="E40" si="48">E37+E38+E39</f>
        <v>5607.0875155570666</v>
      </c>
      <c r="F40" s="117">
        <f t="shared" ref="F40" si="49">F37+F38+F39</f>
        <v>3999.000213855968</v>
      </c>
      <c r="G40" s="117">
        <f t="shared" ref="G40" si="50">G37+G38+G39</f>
        <v>2408.6437275175913</v>
      </c>
    </row>
    <row r="41" spans="2:12" s="60" customFormat="1" ht="15.5" hidden="1">
      <c r="B41" s="116" t="s">
        <v>154</v>
      </c>
      <c r="C41" s="117">
        <f>(C37*(1+TARIFAS!$C$29))/2</f>
        <v>2923.1891101893643</v>
      </c>
      <c r="D41" s="117">
        <f>(D37*(1+TARIFAS!$C$29))/2</f>
        <v>2735.3742098596972</v>
      </c>
      <c r="E41" s="117">
        <f>(E37*(1+TARIFAS!$C$29))/2</f>
        <v>2431.6450960324014</v>
      </c>
      <c r="F41" s="117">
        <f>(F37*(1+TARIFAS!$C$29))/2</f>
        <v>1734.2602968252922</v>
      </c>
      <c r="G41" s="117">
        <f>(G37*(1+TARIFAS!$C$29))/2</f>
        <v>1044.5648818316085</v>
      </c>
    </row>
    <row r="42" spans="2:12" s="60" customFormat="1" ht="15.5" hidden="1">
      <c r="B42" s="116" t="s">
        <v>155</v>
      </c>
      <c r="C42" s="117">
        <f>C41*5%</f>
        <v>146.15945550946822</v>
      </c>
      <c r="D42" s="117">
        <f t="shared" ref="D42" si="51">D41*5%</f>
        <v>136.76871049298487</v>
      </c>
      <c r="E42" s="117">
        <f t="shared" ref="E42" si="52">E41*5%</f>
        <v>121.58225480162008</v>
      </c>
      <c r="F42" s="117">
        <f t="shared" ref="F42" si="53">F41*5%</f>
        <v>86.713014841264624</v>
      </c>
      <c r="G42" s="117">
        <f t="shared" ref="G42" si="54">G41*5%</f>
        <v>52.228244091580429</v>
      </c>
    </row>
    <row r="43" spans="2:12" s="60" customFormat="1" ht="15.5" hidden="1">
      <c r="B43" s="116" t="s">
        <v>156</v>
      </c>
      <c r="C43" s="117">
        <f>(C41+C42)*12%</f>
        <v>368.32182788385984</v>
      </c>
      <c r="D43" s="117">
        <f t="shared" ref="D43" si="55">(D41+D42)*12%</f>
        <v>344.65715044232184</v>
      </c>
      <c r="E43" s="117">
        <f t="shared" ref="E43" si="56">(E41+E42)*12%</f>
        <v>306.38728210008253</v>
      </c>
      <c r="F43" s="117">
        <f t="shared" ref="F43" si="57">(F41+F42)*12%</f>
        <v>218.51679739998681</v>
      </c>
      <c r="G43" s="117">
        <f t="shared" ref="G43" si="58">(G41+G42)*12%</f>
        <v>131.61517511078267</v>
      </c>
    </row>
    <row r="44" spans="2:12" s="60" customFormat="1" ht="15.5">
      <c r="B44" s="112" t="s">
        <v>158</v>
      </c>
      <c r="C44" s="117">
        <f>C41+C42+C43</f>
        <v>3437.6703935826922</v>
      </c>
      <c r="D44" s="117">
        <f t="shared" ref="D44" si="59">D41+D42+D43</f>
        <v>3216.8000707950041</v>
      </c>
      <c r="E44" s="117">
        <f t="shared" ref="E44" si="60">E41+E42+E43</f>
        <v>2859.6146329341036</v>
      </c>
      <c r="F44" s="117">
        <f t="shared" ref="F44" si="61">F41+F42+F43</f>
        <v>2039.4901090665437</v>
      </c>
      <c r="G44" s="117">
        <f t="shared" ref="G44" si="62">G41+G42+G43</f>
        <v>1228.4083010339716</v>
      </c>
    </row>
    <row r="45" spans="2:12" s="60" customFormat="1" ht="15.5" hidden="1">
      <c r="B45" s="116" t="s">
        <v>154</v>
      </c>
      <c r="C45" s="117">
        <f>(C37*(1+TARIFAS!$C$30))/4</f>
        <v>1490.2532718612445</v>
      </c>
      <c r="D45" s="117">
        <f>(D37*(1+TARIFAS!$C$30))/4</f>
        <v>1394.5044991441594</v>
      </c>
      <c r="E45" s="117">
        <f>(E37*(1+TARIFAS!$C$30))/4</f>
        <v>1239.6622058204398</v>
      </c>
      <c r="F45" s="117">
        <f>(F37*(1+TARIFAS!$C$30))/4</f>
        <v>884.13270034230584</v>
      </c>
      <c r="G45" s="117">
        <f>(G37*(1+TARIFAS!$C$30))/4</f>
        <v>532.52327309062389</v>
      </c>
    </row>
    <row r="46" spans="2:12" s="60" customFormat="1" ht="15.5" hidden="1">
      <c r="B46" s="116" t="s">
        <v>155</v>
      </c>
      <c r="C46" s="117">
        <f>C45*5%</f>
        <v>74.512663593062229</v>
      </c>
      <c r="D46" s="117">
        <f t="shared" ref="D46" si="63">D45*5%</f>
        <v>69.725224957207971</v>
      </c>
      <c r="E46" s="117">
        <f t="shared" ref="E46" si="64">E45*5%</f>
        <v>61.983110291021994</v>
      </c>
      <c r="F46" s="117">
        <f t="shared" ref="F46" si="65">F45*5%</f>
        <v>44.206635017115296</v>
      </c>
      <c r="G46" s="117">
        <f t="shared" ref="G46" si="66">G45*5%</f>
        <v>26.626163654531197</v>
      </c>
    </row>
    <row r="47" spans="2:12" s="60" customFormat="1" ht="15.5" hidden="1">
      <c r="B47" s="116" t="s">
        <v>156</v>
      </c>
      <c r="C47" s="117">
        <f>(C45+C46)*12%</f>
        <v>187.77191225451679</v>
      </c>
      <c r="D47" s="117">
        <f t="shared" ref="D47" si="67">(D45+D46)*12%</f>
        <v>175.70756689216407</v>
      </c>
      <c r="E47" s="117">
        <f t="shared" ref="E47" si="68">(E45+E46)*12%</f>
        <v>156.19743793337543</v>
      </c>
      <c r="F47" s="117">
        <f t="shared" ref="F47" si="69">(F45+F46)*12%</f>
        <v>111.40072024313054</v>
      </c>
      <c r="G47" s="117">
        <f t="shared" ref="G47" si="70">(G45+G46)*12%</f>
        <v>67.097932409418604</v>
      </c>
    </row>
    <row r="48" spans="2:12" s="60" customFormat="1" ht="15.5">
      <c r="B48" s="112" t="s">
        <v>159</v>
      </c>
      <c r="C48" s="117">
        <f>C45+C46+C47</f>
        <v>1752.5378477088234</v>
      </c>
      <c r="D48" s="117">
        <f t="shared" ref="D48" si="71">D45+D46+D47</f>
        <v>1639.9372909935314</v>
      </c>
      <c r="E48" s="117">
        <f t="shared" ref="E48" si="72">E45+E46+E47</f>
        <v>1457.8427540448372</v>
      </c>
      <c r="F48" s="117">
        <f t="shared" ref="F48" si="73">F45+F46+F47</f>
        <v>1039.7400556025518</v>
      </c>
      <c r="G48" s="117">
        <f t="shared" ref="G48" si="74">G45+G46+G47</f>
        <v>626.24736915457368</v>
      </c>
    </row>
    <row r="49" spans="1:25" s="60" customFormat="1" ht="15.5" hidden="1">
      <c r="B49" s="116" t="s">
        <v>154</v>
      </c>
      <c r="C49" s="117">
        <f>(C37*(1+TARIFAS!$C$31))/12</f>
        <v>515.85690179812309</v>
      </c>
      <c r="D49" s="117">
        <f>(D37*(1+TARIFAS!$C$31))/12</f>
        <v>482.7130958575936</v>
      </c>
      <c r="E49" s="117">
        <f>(E37*(1+TARIFAS!$C$31))/12</f>
        <v>429.11384047630617</v>
      </c>
      <c r="F49" s="117">
        <f>(F37*(1+TARIFAS!$C$31))/12</f>
        <v>306.04593473387513</v>
      </c>
      <c r="G49" s="117">
        <f>(G37*(1+TARIFAS!$C$31))/12</f>
        <v>184.33497914675445</v>
      </c>
    </row>
    <row r="50" spans="1:25" s="60" customFormat="1" ht="15.5" hidden="1">
      <c r="B50" s="116" t="s">
        <v>155</v>
      </c>
      <c r="C50" s="117">
        <f>C49*5%</f>
        <v>25.792845089906155</v>
      </c>
      <c r="D50" s="117">
        <f t="shared" ref="D50" si="75">D49*5%</f>
        <v>24.135654792879681</v>
      </c>
      <c r="E50" s="117">
        <f t="shared" ref="E50" si="76">E49*5%</f>
        <v>21.45569202381531</v>
      </c>
      <c r="F50" s="117">
        <f t="shared" ref="F50" si="77">F49*5%</f>
        <v>15.302296736693757</v>
      </c>
      <c r="G50" s="117">
        <f t="shared" ref="G50" si="78">G49*5%</f>
        <v>9.2167489573377228</v>
      </c>
    </row>
    <row r="51" spans="1:25" s="60" customFormat="1" ht="15.5" hidden="1">
      <c r="B51" s="116" t="s">
        <v>156</v>
      </c>
      <c r="C51" s="117">
        <f>(C49+C50)*12%</f>
        <v>64.997969626563503</v>
      </c>
      <c r="D51" s="117">
        <f t="shared" ref="D51" si="79">(D49+D50)*12%</f>
        <v>60.821850078056791</v>
      </c>
      <c r="E51" s="117">
        <f t="shared" ref="E51" si="80">(E49+E50)*12%</f>
        <v>54.068343900014575</v>
      </c>
      <c r="F51" s="117">
        <f t="shared" ref="F51" si="81">(F49+F50)*12%</f>
        <v>38.561787776468265</v>
      </c>
      <c r="G51" s="117">
        <f t="shared" ref="G51" si="82">(G49+G50)*12%</f>
        <v>23.226207372491061</v>
      </c>
    </row>
    <row r="52" spans="1:25" s="60" customFormat="1" ht="15.5">
      <c r="B52" s="112" t="s">
        <v>160</v>
      </c>
      <c r="C52" s="117">
        <f>C49+C50+C51</f>
        <v>606.64771651459273</v>
      </c>
      <c r="D52" s="117">
        <f t="shared" ref="D52" si="83">D49+D50+D51</f>
        <v>567.67060072853008</v>
      </c>
      <c r="E52" s="117">
        <f t="shared" ref="E52" si="84">E49+E50+E51</f>
        <v>504.63787640013601</v>
      </c>
      <c r="F52" s="117">
        <f t="shared" ref="F52" si="85">F49+F50+F51</f>
        <v>359.9100192470371</v>
      </c>
      <c r="G52" s="117">
        <f t="shared" ref="G52" si="86">G49+G50+G51</f>
        <v>216.77793547658325</v>
      </c>
    </row>
    <row r="53" spans="1:25" s="60" customFormat="1" ht="15.5">
      <c r="B53" s="112"/>
      <c r="C53" s="116"/>
      <c r="D53" s="116"/>
      <c r="E53" s="116"/>
    </row>
    <row r="54" spans="1:25" s="60" customFormat="1" ht="15.5">
      <c r="B54" s="112"/>
      <c r="C54" s="116"/>
      <c r="D54" s="116"/>
      <c r="E54" s="116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</row>
    <row r="55" spans="1:25" s="60" customFormat="1" ht="15.5"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</row>
    <row r="56" spans="1:25" s="61" customFormat="1" ht="22" customHeight="1">
      <c r="B56" s="260" t="s">
        <v>104</v>
      </c>
      <c r="C56" s="260"/>
      <c r="D56" s="260"/>
      <c r="E56" s="260"/>
      <c r="F56" s="260" t="s">
        <v>183</v>
      </c>
      <c r="G56" s="260"/>
      <c r="H56" s="260" t="s">
        <v>63</v>
      </c>
      <c r="I56" s="260"/>
      <c r="J56" s="63"/>
      <c r="K56" s="63"/>
      <c r="L56" s="63"/>
      <c r="M56" s="63"/>
      <c r="N56" s="62"/>
      <c r="O56" s="64"/>
      <c r="P56" s="64"/>
      <c r="Q56" s="64"/>
      <c r="R56" s="64"/>
      <c r="S56" s="64"/>
      <c r="T56" s="259"/>
      <c r="U56" s="259"/>
      <c r="V56" s="259"/>
      <c r="W56" s="259"/>
      <c r="X56" s="259"/>
      <c r="Y56" s="259"/>
    </row>
    <row r="57" spans="1:25" s="61" customFormat="1" ht="22" customHeight="1">
      <c r="A57" s="119"/>
      <c r="B57" s="261" t="s">
        <v>105</v>
      </c>
      <c r="C57" s="261"/>
      <c r="D57" s="261"/>
      <c r="E57" s="261"/>
      <c r="F57" s="263">
        <v>6000000</v>
      </c>
      <c r="G57" s="263"/>
      <c r="H57" s="240">
        <v>3000000</v>
      </c>
      <c r="I57" s="240"/>
      <c r="J57" s="50"/>
      <c r="K57" s="50"/>
      <c r="L57" s="50"/>
      <c r="M57" s="50"/>
      <c r="N57" s="62"/>
      <c r="O57" s="51"/>
      <c r="P57" s="51"/>
      <c r="Q57" s="51"/>
      <c r="R57" s="51"/>
      <c r="S57" s="51"/>
      <c r="T57" s="258"/>
      <c r="U57" s="258"/>
      <c r="V57" s="258"/>
      <c r="W57" s="258"/>
      <c r="X57" s="258"/>
      <c r="Y57" s="258"/>
    </row>
    <row r="58" spans="1:25" s="61" customFormat="1" ht="22" customHeight="1">
      <c r="A58" s="119"/>
      <c r="B58" s="261" t="s">
        <v>106</v>
      </c>
      <c r="C58" s="261"/>
      <c r="D58" s="261"/>
      <c r="E58" s="262"/>
      <c r="F58" s="120">
        <v>74</v>
      </c>
      <c r="G58" s="121" t="s">
        <v>240</v>
      </c>
      <c r="H58" s="120">
        <v>74</v>
      </c>
      <c r="I58" s="121" t="s">
        <v>240</v>
      </c>
      <c r="J58" s="50"/>
      <c r="K58" s="50"/>
      <c r="L58" s="50"/>
      <c r="M58" s="50"/>
      <c r="N58" s="62"/>
      <c r="O58" s="51"/>
      <c r="P58" s="51"/>
      <c r="Q58" s="51"/>
      <c r="R58" s="51"/>
      <c r="S58" s="51"/>
      <c r="T58" s="258"/>
      <c r="U58" s="258"/>
      <c r="V58" s="258"/>
      <c r="W58" s="258"/>
      <c r="X58" s="258"/>
      <c r="Y58" s="258"/>
    </row>
    <row r="59" spans="1:25" s="61" customFormat="1" ht="22" customHeight="1">
      <c r="A59" s="119"/>
      <c r="B59" s="261" t="s">
        <v>108</v>
      </c>
      <c r="C59" s="261"/>
      <c r="D59" s="261"/>
      <c r="E59" s="261"/>
      <c r="F59" s="264" t="s">
        <v>109</v>
      </c>
      <c r="G59" s="264"/>
      <c r="H59" s="240" t="s">
        <v>109</v>
      </c>
      <c r="I59" s="240"/>
      <c r="J59" s="50"/>
      <c r="K59" s="50"/>
      <c r="L59" s="50"/>
      <c r="M59" s="50"/>
      <c r="N59" s="62"/>
      <c r="O59" s="51"/>
      <c r="P59" s="51"/>
      <c r="Q59" s="51"/>
      <c r="R59" s="51"/>
      <c r="S59" s="51"/>
      <c r="T59" s="258"/>
      <c r="U59" s="258"/>
      <c r="V59" s="258"/>
      <c r="W59" s="258"/>
      <c r="X59" s="258"/>
      <c r="Y59" s="258"/>
    </row>
    <row r="60" spans="1:25" s="61" customFormat="1" ht="22" customHeight="1">
      <c r="A60" s="119"/>
      <c r="B60" s="261" t="s">
        <v>110</v>
      </c>
      <c r="C60" s="261"/>
      <c r="D60" s="261"/>
      <c r="E60" s="261"/>
      <c r="F60" s="246">
        <v>1</v>
      </c>
      <c r="G60" s="246"/>
      <c r="H60" s="246">
        <v>1</v>
      </c>
      <c r="I60" s="246"/>
      <c r="J60" s="50"/>
      <c r="K60" s="50"/>
      <c r="L60" s="50"/>
      <c r="M60" s="50"/>
      <c r="N60" s="6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</row>
    <row r="61" spans="1:25" s="61" customFormat="1" ht="87.65" customHeight="1">
      <c r="A61" s="119"/>
      <c r="B61" s="261" t="s">
        <v>111</v>
      </c>
      <c r="C61" s="261"/>
      <c r="D61" s="261"/>
      <c r="E61" s="261"/>
      <c r="F61" s="240" t="s">
        <v>112</v>
      </c>
      <c r="G61" s="240"/>
      <c r="H61" s="240" t="s">
        <v>112</v>
      </c>
      <c r="I61" s="240"/>
      <c r="J61" s="50"/>
      <c r="K61" s="50"/>
      <c r="L61" s="50"/>
      <c r="M61" s="50"/>
      <c r="N61" s="62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</row>
    <row r="62" spans="1:25" s="61" customFormat="1" ht="22" customHeight="1">
      <c r="A62" s="119"/>
      <c r="B62" s="261" t="s">
        <v>113</v>
      </c>
      <c r="C62" s="261"/>
      <c r="D62" s="261"/>
      <c r="E62" s="261"/>
      <c r="F62" s="240" t="s">
        <v>114</v>
      </c>
      <c r="G62" s="240"/>
      <c r="H62" s="240" t="s">
        <v>114</v>
      </c>
      <c r="I62" s="240"/>
      <c r="J62" s="50"/>
      <c r="K62" s="50"/>
      <c r="L62" s="50"/>
      <c r="M62" s="50"/>
      <c r="N62" s="6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</row>
    <row r="63" spans="1:25" s="61" customFormat="1" ht="31.5" customHeight="1">
      <c r="A63" s="119"/>
      <c r="B63" s="261" t="s">
        <v>115</v>
      </c>
      <c r="C63" s="261"/>
      <c r="D63" s="261"/>
      <c r="E63" s="261"/>
      <c r="F63" s="240" t="s">
        <v>114</v>
      </c>
      <c r="G63" s="240"/>
      <c r="H63" s="240" t="s">
        <v>114</v>
      </c>
      <c r="I63" s="240"/>
      <c r="J63" s="50"/>
      <c r="K63" s="50"/>
      <c r="L63" s="50"/>
      <c r="M63" s="50"/>
      <c r="N63" s="6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</row>
    <row r="64" spans="1:25" s="61" customFormat="1" ht="26.5" customHeight="1">
      <c r="A64" s="119"/>
      <c r="B64" s="261" t="s">
        <v>116</v>
      </c>
      <c r="C64" s="261"/>
      <c r="D64" s="261"/>
      <c r="E64" s="261"/>
      <c r="F64" s="240" t="s">
        <v>114</v>
      </c>
      <c r="G64" s="240"/>
      <c r="H64" s="240" t="s">
        <v>114</v>
      </c>
      <c r="I64" s="240"/>
      <c r="J64" s="50"/>
      <c r="K64" s="50"/>
      <c r="L64" s="50"/>
      <c r="M64" s="50"/>
      <c r="N64" s="6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</row>
    <row r="65" spans="1:25" s="61" customFormat="1" ht="86.15" customHeight="1">
      <c r="A65" s="119"/>
      <c r="B65" s="261" t="s">
        <v>117</v>
      </c>
      <c r="C65" s="261"/>
      <c r="D65" s="261"/>
      <c r="E65" s="261"/>
      <c r="F65" s="240" t="s">
        <v>118</v>
      </c>
      <c r="G65" s="240"/>
      <c r="H65" s="240" t="s">
        <v>118</v>
      </c>
      <c r="I65" s="240"/>
      <c r="J65" s="50"/>
      <c r="K65" s="50"/>
      <c r="L65" s="50"/>
      <c r="M65" s="50"/>
      <c r="N65" s="62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</row>
    <row r="66" spans="1:25" s="61" customFormat="1" ht="22" customHeight="1">
      <c r="A66" s="119"/>
      <c r="B66" s="261" t="s">
        <v>341</v>
      </c>
      <c r="C66" s="261"/>
      <c r="D66" s="261"/>
      <c r="E66" s="261"/>
      <c r="F66" s="247">
        <v>25000</v>
      </c>
      <c r="G66" s="247"/>
      <c r="H66" s="247">
        <v>15000</v>
      </c>
      <c r="I66" s="247"/>
      <c r="J66" s="50"/>
      <c r="K66" s="50"/>
      <c r="L66" s="50"/>
      <c r="M66" s="50"/>
      <c r="N66" s="62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</row>
    <row r="67" spans="1:25" s="61" customFormat="1" ht="22" customHeight="1">
      <c r="A67" s="119"/>
      <c r="B67" s="261" t="s">
        <v>119</v>
      </c>
      <c r="C67" s="261"/>
      <c r="D67" s="261"/>
      <c r="E67" s="261"/>
      <c r="F67" s="246" t="s">
        <v>241</v>
      </c>
      <c r="G67" s="246"/>
      <c r="H67" s="246" t="s">
        <v>244</v>
      </c>
      <c r="I67" s="246"/>
      <c r="J67" s="50"/>
      <c r="K67" s="50"/>
      <c r="L67" s="50"/>
      <c r="M67" s="50"/>
      <c r="N67" s="62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</row>
    <row r="68" spans="1:25" s="61" customFormat="1" ht="22" customHeight="1">
      <c r="A68" s="119"/>
      <c r="B68" s="261" t="s">
        <v>121</v>
      </c>
      <c r="C68" s="261"/>
      <c r="D68" s="261"/>
      <c r="E68" s="261"/>
      <c r="F68" s="245">
        <v>100000</v>
      </c>
      <c r="G68" s="245"/>
      <c r="H68" s="245">
        <v>75000</v>
      </c>
      <c r="I68" s="245"/>
      <c r="J68" s="50"/>
      <c r="K68" s="50"/>
      <c r="L68" s="50"/>
      <c r="M68" s="50"/>
      <c r="N68" s="62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</row>
    <row r="69" spans="1:25" s="61" customFormat="1" ht="22" customHeight="1">
      <c r="A69" s="119"/>
      <c r="B69" s="261" t="s">
        <v>122</v>
      </c>
      <c r="C69" s="261"/>
      <c r="D69" s="261"/>
      <c r="E69" s="261"/>
      <c r="F69" s="245">
        <v>500000</v>
      </c>
      <c r="G69" s="245"/>
      <c r="H69" s="245">
        <v>200000</v>
      </c>
      <c r="I69" s="245"/>
      <c r="J69" s="50"/>
      <c r="K69" s="50"/>
      <c r="L69" s="50"/>
      <c r="M69" s="50"/>
      <c r="N69" s="6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</row>
    <row r="70" spans="1:25" s="61" customFormat="1" ht="22" customHeight="1">
      <c r="A70" s="119"/>
      <c r="B70" s="261" t="s">
        <v>123</v>
      </c>
      <c r="C70" s="261"/>
      <c r="D70" s="261"/>
      <c r="E70" s="261"/>
      <c r="F70" s="245">
        <v>125000</v>
      </c>
      <c r="G70" s="245"/>
      <c r="H70" s="245">
        <v>50000</v>
      </c>
      <c r="I70" s="245"/>
      <c r="J70" s="50"/>
      <c r="K70" s="50"/>
      <c r="L70" s="50"/>
      <c r="M70" s="50"/>
      <c r="N70" s="6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</row>
    <row r="71" spans="1:25" s="61" customFormat="1" ht="30" customHeight="1">
      <c r="A71" s="119"/>
      <c r="B71" s="261" t="s">
        <v>124</v>
      </c>
      <c r="C71" s="261"/>
      <c r="D71" s="261"/>
      <c r="E71" s="261"/>
      <c r="F71" s="250" t="s">
        <v>241</v>
      </c>
      <c r="G71" s="251"/>
      <c r="H71" s="240" t="s">
        <v>242</v>
      </c>
      <c r="I71" s="240"/>
      <c r="J71" s="50"/>
      <c r="K71" s="50"/>
      <c r="L71" s="50"/>
      <c r="M71" s="50"/>
      <c r="N71" s="62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</row>
    <row r="72" spans="1:25" s="61" customFormat="1" ht="22" customHeight="1">
      <c r="A72" s="119"/>
      <c r="B72" s="261" t="s">
        <v>125</v>
      </c>
      <c r="C72" s="261"/>
      <c r="D72" s="261"/>
      <c r="E72" s="261"/>
      <c r="F72" s="246" t="s">
        <v>246</v>
      </c>
      <c r="G72" s="246"/>
      <c r="H72" s="246" t="s">
        <v>245</v>
      </c>
      <c r="I72" s="246"/>
      <c r="J72" s="50"/>
      <c r="K72" s="50"/>
      <c r="L72" s="50"/>
      <c r="M72" s="50"/>
      <c r="N72" s="62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</row>
    <row r="73" spans="1:25" s="61" customFormat="1" ht="31" customHeight="1">
      <c r="A73" s="119"/>
      <c r="B73" s="267" t="s">
        <v>126</v>
      </c>
      <c r="C73" s="267"/>
      <c r="D73" s="267"/>
      <c r="E73" s="267"/>
      <c r="F73" s="248" t="s">
        <v>127</v>
      </c>
      <c r="G73" s="248"/>
      <c r="H73" s="248">
        <v>1</v>
      </c>
      <c r="I73" s="248"/>
      <c r="J73" s="50"/>
      <c r="K73" s="50"/>
      <c r="L73" s="50"/>
      <c r="M73" s="50"/>
      <c r="N73" s="62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</row>
    <row r="74" spans="1:25" s="61" customFormat="1" ht="22" customHeight="1">
      <c r="B74" s="268" t="s">
        <v>128</v>
      </c>
      <c r="C74" s="269"/>
      <c r="D74" s="269"/>
      <c r="E74" s="269"/>
      <c r="F74" s="242"/>
      <c r="G74" s="242"/>
      <c r="H74" s="242"/>
      <c r="I74" s="243"/>
      <c r="J74" s="55"/>
      <c r="K74" s="55"/>
      <c r="L74" s="55"/>
      <c r="M74" s="55"/>
      <c r="N74" s="62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</row>
    <row r="75" spans="1:25" s="61" customFormat="1" ht="22" customHeight="1">
      <c r="A75" s="119"/>
      <c r="B75" s="266" t="s">
        <v>129</v>
      </c>
      <c r="C75" s="266"/>
      <c r="D75" s="266"/>
      <c r="E75" s="266"/>
      <c r="F75" s="249">
        <v>500000</v>
      </c>
      <c r="G75" s="249"/>
      <c r="H75" s="249">
        <v>250000</v>
      </c>
      <c r="I75" s="249"/>
      <c r="J75" s="50"/>
      <c r="K75" s="50"/>
      <c r="L75" s="50"/>
      <c r="M75" s="50"/>
      <c r="N75" s="62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</row>
    <row r="76" spans="1:25" s="61" customFormat="1" ht="22" customHeight="1">
      <c r="A76" s="119"/>
      <c r="B76" s="267" t="s">
        <v>130</v>
      </c>
      <c r="C76" s="267"/>
      <c r="D76" s="267"/>
      <c r="E76" s="267"/>
      <c r="F76" s="241" t="s">
        <v>243</v>
      </c>
      <c r="G76" s="241"/>
      <c r="H76" s="241" t="s">
        <v>243</v>
      </c>
      <c r="I76" s="241"/>
      <c r="J76" s="50"/>
      <c r="K76" s="50"/>
      <c r="L76" s="50"/>
      <c r="M76" s="50"/>
      <c r="N76" s="62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</row>
    <row r="77" spans="1:25" s="61" customFormat="1" ht="22" customHeight="1">
      <c r="B77" s="268" t="s">
        <v>132</v>
      </c>
      <c r="C77" s="269"/>
      <c r="D77" s="269"/>
      <c r="E77" s="269"/>
      <c r="F77" s="242"/>
      <c r="G77" s="242"/>
      <c r="H77" s="242"/>
      <c r="I77" s="243"/>
      <c r="J77" s="55"/>
      <c r="K77" s="55"/>
      <c r="L77" s="55"/>
      <c r="M77" s="55"/>
      <c r="N77" s="62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</row>
    <row r="78" spans="1:25" s="61" customFormat="1" ht="22" customHeight="1">
      <c r="A78" s="119"/>
      <c r="B78" s="266" t="s">
        <v>133</v>
      </c>
      <c r="C78" s="266"/>
      <c r="D78" s="266"/>
      <c r="E78" s="266"/>
      <c r="F78" s="244" t="s">
        <v>241</v>
      </c>
      <c r="G78" s="244"/>
      <c r="H78" s="244" t="s">
        <v>231</v>
      </c>
      <c r="I78" s="244"/>
      <c r="J78" s="50"/>
      <c r="K78" s="50"/>
      <c r="L78" s="50"/>
      <c r="M78" s="50"/>
      <c r="N78" s="62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</row>
    <row r="79" spans="1:25" s="61" customFormat="1" ht="22" customHeight="1">
      <c r="A79" s="119"/>
      <c r="B79" s="261" t="s">
        <v>134</v>
      </c>
      <c r="C79" s="261"/>
      <c r="D79" s="261"/>
      <c r="E79" s="261"/>
      <c r="F79" s="245">
        <v>5000</v>
      </c>
      <c r="G79" s="245"/>
      <c r="H79" s="245">
        <v>7500</v>
      </c>
      <c r="I79" s="245"/>
      <c r="J79" s="50"/>
      <c r="K79" s="50"/>
      <c r="L79" s="50"/>
      <c r="M79" s="50"/>
      <c r="N79" s="62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</row>
    <row r="80" spans="1:25" s="61" customFormat="1" ht="22" customHeight="1">
      <c r="A80" s="119"/>
      <c r="B80" s="261" t="s">
        <v>135</v>
      </c>
      <c r="C80" s="261"/>
      <c r="D80" s="261"/>
      <c r="E80" s="261"/>
      <c r="F80" s="245">
        <v>10000</v>
      </c>
      <c r="G80" s="245"/>
      <c r="H80" s="245">
        <v>5000</v>
      </c>
      <c r="I80" s="245"/>
      <c r="J80" s="50"/>
      <c r="K80" s="50"/>
      <c r="L80" s="50"/>
      <c r="M80" s="50"/>
      <c r="N80" s="62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</row>
    <row r="81" spans="1:25" s="61" customFormat="1" ht="29.15" customHeight="1">
      <c r="A81" s="119"/>
      <c r="B81" s="261" t="s">
        <v>136</v>
      </c>
      <c r="C81" s="261"/>
      <c r="D81" s="261"/>
      <c r="E81" s="261"/>
      <c r="F81" s="245">
        <v>500000</v>
      </c>
      <c r="G81" s="245"/>
      <c r="H81" s="245">
        <v>250000</v>
      </c>
      <c r="I81" s="245"/>
      <c r="J81" s="50"/>
      <c r="K81" s="50"/>
      <c r="L81" s="50"/>
      <c r="M81" s="50"/>
      <c r="N81" s="62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</row>
    <row r="82" spans="1:25" s="61" customFormat="1" ht="22" customHeight="1">
      <c r="A82" s="119"/>
      <c r="B82" s="261" t="s">
        <v>137</v>
      </c>
      <c r="C82" s="261"/>
      <c r="D82" s="261"/>
      <c r="E82" s="261"/>
      <c r="F82" s="245">
        <v>8000</v>
      </c>
      <c r="G82" s="245"/>
      <c r="H82" s="245">
        <v>5000</v>
      </c>
      <c r="I82" s="245"/>
      <c r="J82" s="50"/>
      <c r="K82" s="50"/>
      <c r="L82" s="50"/>
      <c r="M82" s="50"/>
      <c r="N82" s="62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</row>
    <row r="83" spans="1:25" s="61" customFormat="1" ht="25" customHeight="1">
      <c r="A83" s="119"/>
      <c r="B83" s="261" t="s">
        <v>161</v>
      </c>
      <c r="C83" s="261"/>
      <c r="D83" s="261"/>
      <c r="E83" s="261"/>
      <c r="F83" s="240"/>
      <c r="G83" s="240"/>
      <c r="H83" s="240"/>
      <c r="I83" s="24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</row>
    <row r="84" spans="1:25" ht="15.5">
      <c r="B84" s="116"/>
      <c r="C84" s="50"/>
      <c r="D84" s="50"/>
      <c r="E84" s="50"/>
      <c r="F84" s="50"/>
      <c r="G84" s="50"/>
      <c r="H84" s="50"/>
      <c r="I84" s="50"/>
      <c r="J84" s="50"/>
      <c r="K84" s="50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</row>
    <row r="85" spans="1:25" ht="15.5">
      <c r="B85" s="116"/>
      <c r="C85" s="50"/>
      <c r="D85" s="50"/>
      <c r="E85" s="50"/>
      <c r="F85" s="50"/>
      <c r="G85" s="50"/>
      <c r="H85" s="50"/>
      <c r="I85" s="50"/>
      <c r="J85" s="50"/>
      <c r="K85" s="50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</row>
    <row r="86" spans="1:25" ht="15.5">
      <c r="B86" s="116"/>
      <c r="C86" s="50"/>
      <c r="D86" s="50"/>
      <c r="E86" s="50"/>
      <c r="F86" s="50"/>
      <c r="G86" s="50"/>
      <c r="H86" s="50"/>
      <c r="I86" s="50"/>
      <c r="J86" s="50"/>
      <c r="K86" s="50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</row>
    <row r="87" spans="1:25" ht="15.5">
      <c r="B87" s="116"/>
      <c r="C87" s="50"/>
      <c r="D87" s="50"/>
      <c r="E87" s="50"/>
      <c r="F87" s="50"/>
      <c r="G87" s="50"/>
      <c r="H87" s="50"/>
      <c r="I87" s="50"/>
      <c r="J87" s="50"/>
      <c r="K87" s="50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</row>
    <row r="88" spans="1:25" ht="15.5" hidden="1">
      <c r="B88" s="116"/>
      <c r="C88" s="50"/>
      <c r="D88" s="50"/>
      <c r="E88" s="50"/>
      <c r="F88" s="50"/>
      <c r="G88" s="50"/>
      <c r="H88" s="50"/>
      <c r="I88" s="50"/>
      <c r="J88" s="50"/>
      <c r="K88" s="50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</row>
    <row r="89" spans="1:25" ht="15.5" hidden="1">
      <c r="B89" s="116"/>
      <c r="C89" s="50"/>
      <c r="D89" s="50"/>
      <c r="E89" s="50"/>
      <c r="F89" s="50"/>
      <c r="G89" s="50"/>
      <c r="H89" s="50"/>
      <c r="I89" s="50"/>
      <c r="J89" s="50"/>
      <c r="K89" s="50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</row>
  </sheetData>
  <sheetProtection algorithmName="SHA-512" hashValue="Qa3mB/0Fut/UkLxth7iQtL68enV2D6p0WLYDDPAU+yt9rwUGP5uXHDbxbcImpXVb/IySJI1d20vXWiyOSEonaw==" saltValue="HD4ScAl5FRi36/cCNuCqGQ==" spinCount="100000" sheet="1" objects="1" scenarios="1" selectLockedCells="1"/>
  <mergeCells count="93">
    <mergeCell ref="H5:I5"/>
    <mergeCell ref="B83:E83"/>
    <mergeCell ref="B75:E75"/>
    <mergeCell ref="B76:E76"/>
    <mergeCell ref="B77:E77"/>
    <mergeCell ref="B78:E78"/>
    <mergeCell ref="B79:E79"/>
    <mergeCell ref="B80:E80"/>
    <mergeCell ref="B81:E81"/>
    <mergeCell ref="B82:E82"/>
    <mergeCell ref="B70:E70"/>
    <mergeCell ref="B71:E71"/>
    <mergeCell ref="B72:E72"/>
    <mergeCell ref="B73:E73"/>
    <mergeCell ref="B74:E74"/>
    <mergeCell ref="B65:E65"/>
    <mergeCell ref="B66:E66"/>
    <mergeCell ref="B67:E67"/>
    <mergeCell ref="B68:E68"/>
    <mergeCell ref="B69:E69"/>
    <mergeCell ref="B60:E60"/>
    <mergeCell ref="B61:E61"/>
    <mergeCell ref="B62:E62"/>
    <mergeCell ref="B63:E63"/>
    <mergeCell ref="B64:E64"/>
    <mergeCell ref="C34:G34"/>
    <mergeCell ref="T58:Y58"/>
    <mergeCell ref="T59:Y59"/>
    <mergeCell ref="T56:Y56"/>
    <mergeCell ref="T57:Y57"/>
    <mergeCell ref="B56:E56"/>
    <mergeCell ref="B57:E57"/>
    <mergeCell ref="B58:E58"/>
    <mergeCell ref="B59:E59"/>
    <mergeCell ref="F56:G56"/>
    <mergeCell ref="F57:G57"/>
    <mergeCell ref="F59:G59"/>
    <mergeCell ref="H56:I56"/>
    <mergeCell ref="H57:I57"/>
    <mergeCell ref="H59:I59"/>
    <mergeCell ref="B13:D13"/>
    <mergeCell ref="C14:G14"/>
    <mergeCell ref="B9:H9"/>
    <mergeCell ref="M11:O11"/>
    <mergeCell ref="S11:V11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H72:I72"/>
    <mergeCell ref="H67:I67"/>
    <mergeCell ref="H68:I68"/>
    <mergeCell ref="F74:G74"/>
    <mergeCell ref="F75:G75"/>
    <mergeCell ref="H69:I69"/>
    <mergeCell ref="H70:I70"/>
    <mergeCell ref="H71:I71"/>
    <mergeCell ref="F69:G69"/>
    <mergeCell ref="F70:G70"/>
    <mergeCell ref="F71:G71"/>
    <mergeCell ref="F72:G72"/>
    <mergeCell ref="F73:G73"/>
    <mergeCell ref="H60:I60"/>
    <mergeCell ref="H61:I61"/>
    <mergeCell ref="H81:I81"/>
    <mergeCell ref="H82:I82"/>
    <mergeCell ref="H83:I83"/>
    <mergeCell ref="H62:I62"/>
    <mergeCell ref="H63:I63"/>
    <mergeCell ref="H64:I64"/>
    <mergeCell ref="H65:I65"/>
    <mergeCell ref="H66:I66"/>
    <mergeCell ref="H73:I73"/>
    <mergeCell ref="H74:I74"/>
    <mergeCell ref="H75:I75"/>
    <mergeCell ref="F83:G83"/>
    <mergeCell ref="H76:I76"/>
    <mergeCell ref="H77:I77"/>
    <mergeCell ref="H78:I78"/>
    <mergeCell ref="H79:I79"/>
    <mergeCell ref="H80:I80"/>
    <mergeCell ref="F78:G78"/>
    <mergeCell ref="F76:G76"/>
    <mergeCell ref="F77:G77"/>
    <mergeCell ref="F79:G79"/>
    <mergeCell ref="F80:G80"/>
    <mergeCell ref="F81:G81"/>
    <mergeCell ref="F82:G82"/>
  </mergeCells>
  <pageMargins left="0.7" right="0.7" top="1.3149999999999999" bottom="0.75" header="0.3" footer="0.3"/>
  <pageSetup paperSize="9" scale="70" orientation="portrait" r:id="rId1"/>
  <rowBreaks count="1" manualBreakCount="1">
    <brk id="53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K110"/>
  <sheetViews>
    <sheetView showGridLines="0" zoomScale="70" zoomScaleNormal="70" workbookViewId="0">
      <selection activeCell="Q27" sqref="Q27"/>
    </sheetView>
  </sheetViews>
  <sheetFormatPr baseColWidth="10" defaultColWidth="11.453125" defaultRowHeight="14.5"/>
  <cols>
    <col min="1" max="1" width="4.26953125" style="2" customWidth="1"/>
    <col min="2" max="2" width="19.81640625" style="2" customWidth="1"/>
    <col min="3" max="3" width="13.54296875" style="2" customWidth="1"/>
    <col min="4" max="4" width="13.453125" style="2" customWidth="1"/>
    <col min="5" max="5" width="13.1796875" style="2" customWidth="1"/>
    <col min="6" max="7" width="13.26953125" style="2" customWidth="1"/>
    <col min="8" max="8" width="4.26953125" style="2" customWidth="1"/>
    <col min="9" max="9" width="29.1796875" style="2" customWidth="1"/>
    <col min="10" max="14" width="12.26953125" style="2" bestFit="1" customWidth="1"/>
    <col min="15" max="16384" width="11.453125" style="2"/>
  </cols>
  <sheetData>
    <row r="1" spans="1:37" ht="18.5">
      <c r="B1" s="270" t="s">
        <v>28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37" ht="21">
      <c r="A2" s="273" t="s">
        <v>29</v>
      </c>
      <c r="B2" s="273"/>
      <c r="C2" s="273"/>
      <c r="D2" s="273"/>
      <c r="E2" s="273"/>
      <c r="F2" s="273"/>
      <c r="G2" s="273"/>
      <c r="H2" s="273" t="s">
        <v>30</v>
      </c>
      <c r="I2" s="273"/>
      <c r="J2" s="273"/>
      <c r="K2" s="273"/>
      <c r="L2" s="273"/>
      <c r="M2" s="273"/>
      <c r="N2" s="273"/>
    </row>
    <row r="3" spans="1:37" ht="15.75" customHeight="1">
      <c r="A3" s="3" t="s">
        <v>1</v>
      </c>
      <c r="B3" s="4" t="s">
        <v>32</v>
      </c>
      <c r="C3" s="4">
        <v>10000</v>
      </c>
      <c r="D3" s="4">
        <v>15000</v>
      </c>
      <c r="E3" s="4">
        <v>20000</v>
      </c>
      <c r="F3" s="4">
        <v>30000</v>
      </c>
      <c r="G3" s="4">
        <v>45000</v>
      </c>
      <c r="H3" s="3" t="s">
        <v>1</v>
      </c>
      <c r="I3" s="4" t="s">
        <v>32</v>
      </c>
      <c r="J3" s="4">
        <v>10000</v>
      </c>
      <c r="K3" s="4">
        <v>15000</v>
      </c>
      <c r="L3" s="4">
        <v>20000</v>
      </c>
      <c r="M3" s="4">
        <v>30000</v>
      </c>
      <c r="N3" s="4">
        <v>45000</v>
      </c>
      <c r="Q3" s="4" t="s">
        <v>32</v>
      </c>
      <c r="R3" s="4"/>
      <c r="S3" s="4">
        <v>10000</v>
      </c>
      <c r="T3" s="4"/>
      <c r="U3" s="4">
        <v>15000</v>
      </c>
      <c r="V3" s="4"/>
      <c r="W3" s="4">
        <v>20000</v>
      </c>
      <c r="X3" s="4"/>
      <c r="Y3" s="4">
        <v>30000</v>
      </c>
      <c r="Z3" s="4"/>
      <c r="AA3" s="4">
        <v>45000</v>
      </c>
      <c r="AB3" s="4"/>
      <c r="AC3" s="4">
        <v>10000</v>
      </c>
      <c r="AD3" s="4"/>
      <c r="AE3" s="4">
        <v>15000</v>
      </c>
      <c r="AF3" s="4"/>
      <c r="AG3" s="4">
        <v>20000</v>
      </c>
      <c r="AH3" s="4"/>
      <c r="AI3" s="4">
        <v>30000</v>
      </c>
      <c r="AJ3" s="4"/>
      <c r="AK3" s="4">
        <v>45000</v>
      </c>
    </row>
    <row r="4" spans="1:37" ht="15.75" customHeight="1">
      <c r="A4" s="3"/>
      <c r="B4" s="4" t="s">
        <v>31</v>
      </c>
      <c r="C4" s="28">
        <v>10000</v>
      </c>
      <c r="D4" s="28">
        <v>15000</v>
      </c>
      <c r="E4" s="28">
        <v>20000</v>
      </c>
      <c r="F4" s="28">
        <v>30000</v>
      </c>
      <c r="G4" s="28">
        <v>45000</v>
      </c>
      <c r="H4" s="3"/>
      <c r="I4" s="4" t="s">
        <v>31</v>
      </c>
      <c r="J4" s="28">
        <v>10000</v>
      </c>
      <c r="K4" s="28">
        <v>15000</v>
      </c>
      <c r="L4" s="28">
        <v>20000</v>
      </c>
      <c r="M4" s="28">
        <v>30000</v>
      </c>
      <c r="N4" s="28">
        <v>45000</v>
      </c>
      <c r="Q4" s="4" t="s">
        <v>31</v>
      </c>
      <c r="R4" s="4"/>
      <c r="S4" s="28">
        <v>10000</v>
      </c>
      <c r="T4" s="28"/>
      <c r="U4" s="28">
        <v>15000</v>
      </c>
      <c r="V4" s="28"/>
      <c r="W4" s="28">
        <v>20000</v>
      </c>
      <c r="X4" s="28"/>
      <c r="Y4" s="28">
        <v>30000</v>
      </c>
      <c r="Z4" s="28"/>
      <c r="AA4" s="28">
        <v>45000</v>
      </c>
      <c r="AB4" s="28"/>
      <c r="AC4" s="28">
        <v>10000</v>
      </c>
      <c r="AD4" s="28"/>
      <c r="AE4" s="28">
        <v>15000</v>
      </c>
      <c r="AF4" s="28"/>
      <c r="AG4" s="28">
        <v>20000</v>
      </c>
      <c r="AH4" s="28"/>
      <c r="AI4" s="28">
        <v>30000</v>
      </c>
      <c r="AJ4" s="28"/>
      <c r="AK4" s="28">
        <v>45000</v>
      </c>
    </row>
    <row r="5" spans="1:37" ht="15.75" customHeight="1">
      <c r="A5" s="3"/>
      <c r="B5" s="4" t="s">
        <v>2</v>
      </c>
      <c r="C5" s="4"/>
      <c r="D5" s="4"/>
      <c r="E5" s="4"/>
      <c r="F5" s="4"/>
      <c r="G5" s="4"/>
      <c r="H5" s="3"/>
      <c r="I5" s="4" t="s">
        <v>2</v>
      </c>
      <c r="J5" s="4"/>
      <c r="K5" s="4"/>
      <c r="L5" s="4"/>
      <c r="M5" s="4"/>
      <c r="N5" s="4"/>
      <c r="Q5" s="4" t="s">
        <v>2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>
      <c r="A6" s="5">
        <v>1</v>
      </c>
      <c r="B6" s="6">
        <v>19</v>
      </c>
      <c r="C6" s="7">
        <v>3636.0145749138478</v>
      </c>
      <c r="D6" s="7">
        <v>3402.4006384756317</v>
      </c>
      <c r="E6" s="7">
        <v>3024.6065775808952</v>
      </c>
      <c r="F6" s="7">
        <v>2157.1631113331182</v>
      </c>
      <c r="G6" s="7">
        <v>1299.2841008965206</v>
      </c>
      <c r="H6" s="5">
        <v>1</v>
      </c>
      <c r="I6" s="6">
        <v>19</v>
      </c>
      <c r="J6" s="8">
        <v>2246.8433944984918</v>
      </c>
      <c r="K6" s="8">
        <v>2102.4837064019639</v>
      </c>
      <c r="L6" s="8">
        <v>1869.0291718523561</v>
      </c>
      <c r="M6" s="8">
        <v>1333.000071285323</v>
      </c>
      <c r="N6" s="8">
        <v>802.88124250586372</v>
      </c>
      <c r="P6" s="14"/>
      <c r="Q6" s="6">
        <v>19</v>
      </c>
      <c r="R6" s="93" t="str">
        <f>CONCATENATE($Q$6,$S$3)</f>
        <v>1910000</v>
      </c>
      <c r="S6" s="92">
        <f t="shared" ref="S6:S19" si="0">C6/1.05/1.12</f>
        <v>3091.8491283281014</v>
      </c>
      <c r="T6" s="93" t="str">
        <f>CONCATENATE(Q6,$U$3)</f>
        <v>1915000</v>
      </c>
      <c r="U6" s="92">
        <f t="shared" ref="U6:U19" si="1">D6/1.05/1.12</f>
        <v>2893.1978218330196</v>
      </c>
      <c r="V6" s="93" t="str">
        <f>CONCATENATE(Q6,$W$3)</f>
        <v>1920000</v>
      </c>
      <c r="W6" s="92">
        <f t="shared" ref="W6:W19" si="2">E6/1.05/1.12</f>
        <v>2571.9443686912373</v>
      </c>
      <c r="X6" s="93" t="str">
        <f>CONCATENATE(Q6,$Y$3)</f>
        <v>1930000</v>
      </c>
      <c r="Y6" s="92">
        <f t="shared" ref="Y6:Y19" si="3">F6/1.05/1.12</f>
        <v>1834.3223735825834</v>
      </c>
      <c r="Z6" s="93" t="str">
        <f>CONCATENATE(Q6,$AA$3)</f>
        <v>1945000</v>
      </c>
      <c r="AA6" s="92">
        <f t="shared" ref="AA6:AA19" si="4">G6/1.05/1.12</f>
        <v>1104.8334191296942</v>
      </c>
      <c r="AB6" s="93" t="s">
        <v>247</v>
      </c>
      <c r="AC6" s="29">
        <f>J6/1.05/1.12</f>
        <v>1910.581117770826</v>
      </c>
      <c r="AD6" s="93" t="s">
        <v>261</v>
      </c>
      <c r="AE6" s="29">
        <f t="shared" ref="AE6:AE21" si="5">K6/1.05/1.12</f>
        <v>1787.8262809540506</v>
      </c>
      <c r="AF6" s="93" t="s">
        <v>275</v>
      </c>
      <c r="AG6" s="29">
        <f t="shared" ref="AG6:AG19" si="6">L6/1.05/1.12</f>
        <v>1589.3105202826155</v>
      </c>
      <c r="AH6" s="93" t="s">
        <v>289</v>
      </c>
      <c r="AI6" s="29">
        <f t="shared" ref="AI6:AI19" si="7">M6/1.05/1.12</f>
        <v>1133.5034619773153</v>
      </c>
      <c r="AJ6" s="93" t="s">
        <v>303</v>
      </c>
      <c r="AK6" s="29">
        <f t="shared" ref="AK6:AK19" si="8">N6/1.05/1.12</f>
        <v>682.72214498797928</v>
      </c>
    </row>
    <row r="7" spans="1:37">
      <c r="A7" s="5">
        <v>2</v>
      </c>
      <c r="B7" s="9" t="s">
        <v>7</v>
      </c>
      <c r="C7" s="7">
        <v>5908.5236842350014</v>
      </c>
      <c r="D7" s="7">
        <v>5528.9010375229009</v>
      </c>
      <c r="E7" s="7">
        <v>4914.9856885689542</v>
      </c>
      <c r="F7" s="7">
        <v>3505.3900559163176</v>
      </c>
      <c r="G7" s="7">
        <v>2111.3366639568462</v>
      </c>
      <c r="H7" s="5">
        <v>2</v>
      </c>
      <c r="I7" s="9" t="s">
        <v>7</v>
      </c>
      <c r="J7" s="8">
        <v>3651.1205160600498</v>
      </c>
      <c r="K7" s="8">
        <v>3416.5360229031921</v>
      </c>
      <c r="L7" s="8">
        <v>3037.172404260079</v>
      </c>
      <c r="M7" s="8">
        <v>2166.1251158386503</v>
      </c>
      <c r="N7" s="8">
        <v>1304.6820190720287</v>
      </c>
      <c r="P7" s="14"/>
      <c r="Q7" s="9" t="s">
        <v>7</v>
      </c>
      <c r="R7" s="93" t="str">
        <f t="shared" ref="R7:R19" si="9">CONCATENATE(Q7,$S$3)</f>
        <v>20 - 2410000</v>
      </c>
      <c r="S7" s="92">
        <f t="shared" si="0"/>
        <v>5024.2548335331639</v>
      </c>
      <c r="T7" s="93" t="str">
        <f t="shared" ref="T7:T22" si="10">CONCATENATE(Q7,$U$3)</f>
        <v>20 - 2415000</v>
      </c>
      <c r="U7" s="92">
        <f t="shared" si="1"/>
        <v>4701.4464604786563</v>
      </c>
      <c r="V7" s="93" t="str">
        <f t="shared" ref="V7:V22" si="11">CONCATENATE(Q7,$W$3)</f>
        <v>20 - 2420000</v>
      </c>
      <c r="W7" s="92">
        <f t="shared" si="2"/>
        <v>4179.4095991232598</v>
      </c>
      <c r="X7" s="93" t="str">
        <f t="shared" ref="X7:X22" si="12">CONCATENATE(Q7,$Y$3)</f>
        <v>20 - 2430000</v>
      </c>
      <c r="Y7" s="92">
        <f t="shared" si="3"/>
        <v>2980.7738570716983</v>
      </c>
      <c r="Z7" s="93" t="str">
        <f t="shared" ref="Z7:Z23" si="13">CONCATENATE(Q7,$AA$3)</f>
        <v>20 - 2445000</v>
      </c>
      <c r="AA7" s="92">
        <f t="shared" si="4"/>
        <v>1795.3543060857533</v>
      </c>
      <c r="AB7" s="93" t="s">
        <v>248</v>
      </c>
      <c r="AC7" s="29">
        <f t="shared" ref="AC7:AC23" si="14">J7/1.05/1.12</f>
        <v>3104.6943163775932</v>
      </c>
      <c r="AD7" s="93" t="s">
        <v>262</v>
      </c>
      <c r="AE7" s="29">
        <f t="shared" si="5"/>
        <v>2905.2177065503329</v>
      </c>
      <c r="AF7" s="93" t="s">
        <v>276</v>
      </c>
      <c r="AG7" s="29">
        <f t="shared" si="6"/>
        <v>2582.6295954592506</v>
      </c>
      <c r="AH7" s="93" t="s">
        <v>290</v>
      </c>
      <c r="AI7" s="29">
        <f t="shared" si="7"/>
        <v>1841.9431257131378</v>
      </c>
      <c r="AJ7" s="93" t="s">
        <v>304</v>
      </c>
      <c r="AK7" s="29">
        <f t="shared" si="8"/>
        <v>1109.4234856054663</v>
      </c>
    </row>
    <row r="8" spans="1:37">
      <c r="A8" s="5">
        <v>3</v>
      </c>
      <c r="B8" s="9" t="s">
        <v>9</v>
      </c>
      <c r="C8" s="7">
        <v>7726.5309716919246</v>
      </c>
      <c r="D8" s="7">
        <v>7230.1013567607179</v>
      </c>
      <c r="E8" s="7">
        <v>6427.2889773594034</v>
      </c>
      <c r="F8" s="7">
        <v>4583.971611582876</v>
      </c>
      <c r="G8" s="7">
        <v>2760.9787144051065</v>
      </c>
      <c r="H8" s="5">
        <v>3</v>
      </c>
      <c r="I8" s="9" t="s">
        <v>9</v>
      </c>
      <c r="J8" s="8">
        <v>4774.5422133092952</v>
      </c>
      <c r="K8" s="8">
        <v>4467.7778761041736</v>
      </c>
      <c r="L8" s="8">
        <v>3971.6869901862569</v>
      </c>
      <c r="M8" s="8">
        <v>2832.6251514813116</v>
      </c>
      <c r="N8" s="8">
        <v>1706.1226403249607</v>
      </c>
      <c r="P8" s="14"/>
      <c r="Q8" s="9" t="s">
        <v>9</v>
      </c>
      <c r="R8" s="93" t="str">
        <f t="shared" si="9"/>
        <v>25 - 2910000</v>
      </c>
      <c r="S8" s="92">
        <f t="shared" si="0"/>
        <v>6570.179397697214</v>
      </c>
      <c r="T8" s="93" t="str">
        <f t="shared" si="10"/>
        <v>25 - 2915000</v>
      </c>
      <c r="U8" s="92">
        <f t="shared" si="1"/>
        <v>6148.0453713951674</v>
      </c>
      <c r="V8" s="93" t="str">
        <f t="shared" si="11"/>
        <v>25 - 2920000</v>
      </c>
      <c r="W8" s="92">
        <f t="shared" si="2"/>
        <v>5465.3817834688789</v>
      </c>
      <c r="X8" s="93" t="str">
        <f t="shared" si="12"/>
        <v>25 - 2930000</v>
      </c>
      <c r="Y8" s="92">
        <f t="shared" si="3"/>
        <v>3897.9350438629895</v>
      </c>
      <c r="Z8" s="93" t="str">
        <f t="shared" si="13"/>
        <v>25 - 2945000</v>
      </c>
      <c r="AA8" s="92">
        <f t="shared" si="4"/>
        <v>2347.7710156506005</v>
      </c>
      <c r="AB8" s="93" t="s">
        <v>249</v>
      </c>
      <c r="AC8" s="29">
        <f t="shared" si="14"/>
        <v>4059.9848752630055</v>
      </c>
      <c r="AD8" s="93" t="s">
        <v>263</v>
      </c>
      <c r="AE8" s="29">
        <f t="shared" si="5"/>
        <v>3799.130847027358</v>
      </c>
      <c r="AF8" s="93" t="s">
        <v>277</v>
      </c>
      <c r="AG8" s="29">
        <f t="shared" si="6"/>
        <v>3377.2848556005583</v>
      </c>
      <c r="AH8" s="93" t="s">
        <v>291</v>
      </c>
      <c r="AI8" s="29">
        <f t="shared" si="7"/>
        <v>2408.6948567017953</v>
      </c>
      <c r="AJ8" s="93" t="s">
        <v>305</v>
      </c>
      <c r="AK8" s="29">
        <f t="shared" si="8"/>
        <v>1450.7845580994563</v>
      </c>
    </row>
    <row r="9" spans="1:37">
      <c r="A9" s="5">
        <v>4</v>
      </c>
      <c r="B9" s="9" t="s">
        <v>10</v>
      </c>
      <c r="C9" s="7">
        <v>9090.0364372846179</v>
      </c>
      <c r="D9" s="7">
        <v>8506.0015961890804</v>
      </c>
      <c r="E9" s="7">
        <v>7561.5164439522378</v>
      </c>
      <c r="F9" s="7">
        <v>5392.9077783327966</v>
      </c>
      <c r="G9" s="7">
        <v>3248.2102522413024</v>
      </c>
      <c r="H9" s="5">
        <v>4</v>
      </c>
      <c r="I9" s="9" t="s">
        <v>10</v>
      </c>
      <c r="J9" s="8">
        <v>5617.1084862462294</v>
      </c>
      <c r="K9" s="8">
        <v>5256.2092660049102</v>
      </c>
      <c r="L9" s="8">
        <v>4672.5729296308891</v>
      </c>
      <c r="M9" s="8">
        <v>3332.5001782133081</v>
      </c>
      <c r="N9" s="8">
        <v>2007.2031062646593</v>
      </c>
      <c r="P9" s="14"/>
      <c r="Q9" s="9" t="s">
        <v>10</v>
      </c>
      <c r="R9" s="93" t="str">
        <f t="shared" si="9"/>
        <v>30 - 3410000</v>
      </c>
      <c r="S9" s="92">
        <f t="shared" si="0"/>
        <v>7729.6228208202519</v>
      </c>
      <c r="T9" s="93" t="str">
        <f t="shared" si="10"/>
        <v>30 - 3415000</v>
      </c>
      <c r="U9" s="92">
        <f t="shared" si="1"/>
        <v>7232.9945545825503</v>
      </c>
      <c r="V9" s="93" t="str">
        <f t="shared" si="11"/>
        <v>30 - 3420000</v>
      </c>
      <c r="W9" s="92">
        <f t="shared" si="2"/>
        <v>6429.8609217280928</v>
      </c>
      <c r="X9" s="93" t="str">
        <f t="shared" si="12"/>
        <v>30 - 3430000</v>
      </c>
      <c r="Y9" s="92">
        <f t="shared" si="3"/>
        <v>4585.8059339564597</v>
      </c>
      <c r="Z9" s="93" t="str">
        <f t="shared" si="13"/>
        <v>30 - 3445000</v>
      </c>
      <c r="AA9" s="92">
        <f t="shared" si="4"/>
        <v>2762.0835478242366</v>
      </c>
      <c r="AB9" s="93" t="s">
        <v>250</v>
      </c>
      <c r="AC9" s="29">
        <f t="shared" si="14"/>
        <v>4776.4527944270649</v>
      </c>
      <c r="AD9" s="93" t="s">
        <v>264</v>
      </c>
      <c r="AE9" s="29">
        <f t="shared" si="5"/>
        <v>4469.5657023851272</v>
      </c>
      <c r="AF9" s="93" t="s">
        <v>278</v>
      </c>
      <c r="AG9" s="29">
        <f t="shared" si="6"/>
        <v>3973.2763007065373</v>
      </c>
      <c r="AH9" s="93" t="s">
        <v>292</v>
      </c>
      <c r="AI9" s="29">
        <f t="shared" si="7"/>
        <v>2833.758654943289</v>
      </c>
      <c r="AJ9" s="93" t="s">
        <v>306</v>
      </c>
      <c r="AK9" s="29">
        <f t="shared" si="8"/>
        <v>1706.8053624699482</v>
      </c>
    </row>
    <row r="10" spans="1:37">
      <c r="A10" s="5">
        <v>5</v>
      </c>
      <c r="B10" s="9" t="s">
        <v>11</v>
      </c>
      <c r="C10" s="7">
        <v>9544.5382591488487</v>
      </c>
      <c r="D10" s="7">
        <v>8931.301675998533</v>
      </c>
      <c r="E10" s="7">
        <v>7939.5922661498489</v>
      </c>
      <c r="F10" s="7">
        <v>5662.5531672494362</v>
      </c>
      <c r="G10" s="7">
        <v>3410.6207648533668</v>
      </c>
      <c r="H10" s="5">
        <v>5</v>
      </c>
      <c r="I10" s="9" t="s">
        <v>11</v>
      </c>
      <c r="J10" s="8">
        <v>5897.9639105585402</v>
      </c>
      <c r="K10" s="8">
        <v>5519.0197293051551</v>
      </c>
      <c r="L10" s="8">
        <v>4906.2015761124339</v>
      </c>
      <c r="M10" s="8">
        <v>3499.1251871239733</v>
      </c>
      <c r="N10" s="8">
        <v>2107.5632615778923</v>
      </c>
      <c r="P10" s="14"/>
      <c r="Q10" s="9" t="s">
        <v>11</v>
      </c>
      <c r="R10" s="93" t="str">
        <f t="shared" si="9"/>
        <v>35 - 3910000</v>
      </c>
      <c r="S10" s="92">
        <f t="shared" si="0"/>
        <v>8116.1039618612649</v>
      </c>
      <c r="T10" s="93" t="str">
        <f t="shared" si="10"/>
        <v>35 - 3915000</v>
      </c>
      <c r="U10" s="92">
        <f t="shared" si="1"/>
        <v>7594.6442823116768</v>
      </c>
      <c r="V10" s="93" t="str">
        <f t="shared" si="11"/>
        <v>35 - 3920000</v>
      </c>
      <c r="W10" s="92">
        <f t="shared" si="2"/>
        <v>6751.3539678144962</v>
      </c>
      <c r="X10" s="93" t="str">
        <f t="shared" si="12"/>
        <v>35 - 3930000</v>
      </c>
      <c r="Y10" s="92">
        <f t="shared" si="3"/>
        <v>4815.0962306542824</v>
      </c>
      <c r="Z10" s="93" t="str">
        <f t="shared" si="13"/>
        <v>35 - 3945000</v>
      </c>
      <c r="AA10" s="92">
        <f t="shared" si="4"/>
        <v>2900.1877252154477</v>
      </c>
      <c r="AB10" s="93" t="s">
        <v>251</v>
      </c>
      <c r="AC10" s="29">
        <f t="shared" si="14"/>
        <v>5015.2754341484178</v>
      </c>
      <c r="AD10" s="93" t="s">
        <v>265</v>
      </c>
      <c r="AE10" s="29">
        <f t="shared" si="5"/>
        <v>4693.043987504383</v>
      </c>
      <c r="AF10" s="93" t="s">
        <v>279</v>
      </c>
      <c r="AG10" s="29">
        <f t="shared" si="6"/>
        <v>4171.9401157418652</v>
      </c>
      <c r="AH10" s="93" t="s">
        <v>293</v>
      </c>
      <c r="AI10" s="29">
        <f t="shared" si="7"/>
        <v>2975.4465876904528</v>
      </c>
      <c r="AJ10" s="93" t="s">
        <v>307</v>
      </c>
      <c r="AK10" s="29">
        <f t="shared" si="8"/>
        <v>1792.1456305934455</v>
      </c>
    </row>
    <row r="11" spans="1:37">
      <c r="A11" s="5">
        <v>6</v>
      </c>
      <c r="B11" s="9" t="s">
        <v>12</v>
      </c>
      <c r="C11" s="7">
        <v>9999.0400810130814</v>
      </c>
      <c r="D11" s="7">
        <v>9356.6017558079893</v>
      </c>
      <c r="E11" s="7">
        <v>8317.6680883474619</v>
      </c>
      <c r="F11" s="7">
        <v>5932.1985561660767</v>
      </c>
      <c r="G11" s="7">
        <v>3573.0312774654317</v>
      </c>
      <c r="H11" s="5">
        <v>6</v>
      </c>
      <c r="I11" s="9" t="s">
        <v>12</v>
      </c>
      <c r="J11" s="8">
        <v>6178.8193348708519</v>
      </c>
      <c r="K11" s="8">
        <v>5781.830192605401</v>
      </c>
      <c r="L11" s="8">
        <v>5139.8302225939788</v>
      </c>
      <c r="M11" s="8">
        <v>3665.750196034639</v>
      </c>
      <c r="N11" s="8">
        <v>2207.9234168911253</v>
      </c>
      <c r="P11" s="14"/>
      <c r="Q11" s="9" t="s">
        <v>12</v>
      </c>
      <c r="R11" s="93" t="str">
        <f t="shared" si="9"/>
        <v>40 - 4410000</v>
      </c>
      <c r="S11" s="92">
        <f t="shared" si="0"/>
        <v>8502.5851029022779</v>
      </c>
      <c r="T11" s="93" t="str">
        <f t="shared" si="10"/>
        <v>40 - 4415000</v>
      </c>
      <c r="U11" s="92">
        <f t="shared" si="1"/>
        <v>7956.2940100408059</v>
      </c>
      <c r="V11" s="93" t="str">
        <f t="shared" si="11"/>
        <v>40 - 4420000</v>
      </c>
      <c r="W11" s="92">
        <f t="shared" si="2"/>
        <v>7072.8470139009023</v>
      </c>
      <c r="X11" s="93" t="str">
        <f t="shared" si="12"/>
        <v>40 - 4430000</v>
      </c>
      <c r="Y11" s="92">
        <f t="shared" si="3"/>
        <v>5044.3865273521051</v>
      </c>
      <c r="Z11" s="93" t="str">
        <f t="shared" si="13"/>
        <v>40 - 4445000</v>
      </c>
      <c r="AA11" s="92">
        <f t="shared" si="4"/>
        <v>3038.2919026066593</v>
      </c>
      <c r="AB11" s="93" t="s">
        <v>252</v>
      </c>
      <c r="AC11" s="29">
        <f t="shared" si="14"/>
        <v>5254.0980738697717</v>
      </c>
      <c r="AD11" s="93" t="s">
        <v>266</v>
      </c>
      <c r="AE11" s="29">
        <f t="shared" si="5"/>
        <v>4916.5222726236398</v>
      </c>
      <c r="AF11" s="93" t="s">
        <v>280</v>
      </c>
      <c r="AG11" s="29">
        <f t="shared" si="6"/>
        <v>4370.6039307771925</v>
      </c>
      <c r="AH11" s="93" t="s">
        <v>294</v>
      </c>
      <c r="AI11" s="29">
        <f t="shared" si="7"/>
        <v>3117.1345204376175</v>
      </c>
      <c r="AJ11" s="93" t="s">
        <v>308</v>
      </c>
      <c r="AK11" s="29">
        <f t="shared" si="8"/>
        <v>1877.4858987169432</v>
      </c>
    </row>
    <row r="12" spans="1:37">
      <c r="A12" s="5">
        <v>7</v>
      </c>
      <c r="B12" s="9" t="s">
        <v>13</v>
      </c>
      <c r="C12" s="7">
        <v>10453.54190287731</v>
      </c>
      <c r="D12" s="7">
        <v>9781.901835617442</v>
      </c>
      <c r="E12" s="7">
        <v>8695.7439105450721</v>
      </c>
      <c r="F12" s="7">
        <v>6201.8439450827145</v>
      </c>
      <c r="G12" s="7">
        <v>3735.441790077497</v>
      </c>
      <c r="H12" s="5">
        <v>7</v>
      </c>
      <c r="I12" s="9" t="s">
        <v>13</v>
      </c>
      <c r="J12" s="8">
        <v>6459.6747591831636</v>
      </c>
      <c r="K12" s="8">
        <v>6044.6406559056459</v>
      </c>
      <c r="L12" s="8">
        <v>5373.4588690755227</v>
      </c>
      <c r="M12" s="8">
        <v>3832.3752049453033</v>
      </c>
      <c r="N12" s="8">
        <v>2308.2835722043578</v>
      </c>
      <c r="P12" s="14"/>
      <c r="Q12" s="9" t="s">
        <v>13</v>
      </c>
      <c r="R12" s="93" t="str">
        <f t="shared" si="9"/>
        <v>45 - 4910000</v>
      </c>
      <c r="S12" s="92">
        <f t="shared" si="0"/>
        <v>8889.0662439432908</v>
      </c>
      <c r="T12" s="93" t="str">
        <f t="shared" si="10"/>
        <v>45 - 4915000</v>
      </c>
      <c r="U12" s="92">
        <f t="shared" si="1"/>
        <v>8317.9437377699323</v>
      </c>
      <c r="V12" s="93" t="str">
        <f t="shared" si="11"/>
        <v>45 - 4920000</v>
      </c>
      <c r="W12" s="92">
        <f t="shared" si="2"/>
        <v>7394.3400599873057</v>
      </c>
      <c r="X12" s="93" t="str">
        <f t="shared" si="12"/>
        <v>45 - 4930000</v>
      </c>
      <c r="Y12" s="92">
        <f t="shared" si="3"/>
        <v>5273.6768240499259</v>
      </c>
      <c r="Z12" s="93" t="str">
        <f t="shared" si="13"/>
        <v>45 - 4945000</v>
      </c>
      <c r="AA12" s="92">
        <f t="shared" si="4"/>
        <v>3176.3960799978713</v>
      </c>
      <c r="AB12" s="93" t="s">
        <v>253</v>
      </c>
      <c r="AC12" s="29">
        <f t="shared" si="14"/>
        <v>5492.9207135911247</v>
      </c>
      <c r="AD12" s="93" t="s">
        <v>267</v>
      </c>
      <c r="AE12" s="29">
        <f t="shared" si="5"/>
        <v>5140.0005577428956</v>
      </c>
      <c r="AF12" s="93" t="s">
        <v>281</v>
      </c>
      <c r="AG12" s="29">
        <f t="shared" si="6"/>
        <v>4569.267745812519</v>
      </c>
      <c r="AH12" s="93" t="s">
        <v>295</v>
      </c>
      <c r="AI12" s="29">
        <f t="shared" si="7"/>
        <v>3258.8224531847814</v>
      </c>
      <c r="AJ12" s="93" t="s">
        <v>309</v>
      </c>
      <c r="AK12" s="29">
        <f t="shared" si="8"/>
        <v>1962.82616684044</v>
      </c>
    </row>
    <row r="13" spans="1:37">
      <c r="A13" s="5">
        <v>8</v>
      </c>
      <c r="B13" s="9" t="s">
        <v>14</v>
      </c>
      <c r="C13" s="7">
        <v>10908.043724741541</v>
      </c>
      <c r="D13" s="7">
        <v>10207.201915426895</v>
      </c>
      <c r="E13" s="7">
        <v>9073.8197327426842</v>
      </c>
      <c r="F13" s="7">
        <v>6471.489333999355</v>
      </c>
      <c r="G13" s="7">
        <v>3897.8523026895614</v>
      </c>
      <c r="H13" s="5">
        <v>8</v>
      </c>
      <c r="I13" s="9" t="s">
        <v>14</v>
      </c>
      <c r="J13" s="8">
        <v>6740.5301834954753</v>
      </c>
      <c r="K13" s="8">
        <v>6307.4511192058908</v>
      </c>
      <c r="L13" s="8">
        <v>5607.0875155570666</v>
      </c>
      <c r="M13" s="8">
        <v>3999.0002138559685</v>
      </c>
      <c r="N13" s="8">
        <v>2408.6437275175913</v>
      </c>
      <c r="P13" s="14"/>
      <c r="Q13" s="9" t="s">
        <v>14</v>
      </c>
      <c r="R13" s="93" t="str">
        <f t="shared" si="9"/>
        <v>50 - 5410000</v>
      </c>
      <c r="S13" s="92">
        <f t="shared" si="0"/>
        <v>9275.547384984302</v>
      </c>
      <c r="T13" s="93" t="str">
        <f t="shared" si="10"/>
        <v>50 - 5415000</v>
      </c>
      <c r="U13" s="92">
        <f t="shared" si="1"/>
        <v>8679.5934654990579</v>
      </c>
      <c r="V13" s="93" t="str">
        <f t="shared" si="11"/>
        <v>50 - 5420000</v>
      </c>
      <c r="W13" s="92">
        <f t="shared" si="2"/>
        <v>7715.83310607371</v>
      </c>
      <c r="X13" s="93" t="str">
        <f t="shared" si="12"/>
        <v>50 - 5430000</v>
      </c>
      <c r="Y13" s="92">
        <f t="shared" si="3"/>
        <v>5502.9671207477495</v>
      </c>
      <c r="Z13" s="93" t="str">
        <f t="shared" si="13"/>
        <v>50 - 5445000</v>
      </c>
      <c r="AA13" s="92">
        <f t="shared" si="4"/>
        <v>3314.500257389082</v>
      </c>
      <c r="AB13" s="93" t="s">
        <v>254</v>
      </c>
      <c r="AC13" s="29">
        <f t="shared" si="14"/>
        <v>5731.7433533124786</v>
      </c>
      <c r="AD13" s="93" t="s">
        <v>268</v>
      </c>
      <c r="AE13" s="29">
        <f t="shared" si="5"/>
        <v>5363.4788428621514</v>
      </c>
      <c r="AF13" s="93" t="s">
        <v>282</v>
      </c>
      <c r="AG13" s="29">
        <f t="shared" si="6"/>
        <v>4767.9315608478455</v>
      </c>
      <c r="AH13" s="93" t="s">
        <v>296</v>
      </c>
      <c r="AI13" s="29">
        <f t="shared" si="7"/>
        <v>3400.5103859319456</v>
      </c>
      <c r="AJ13" s="93" t="s">
        <v>310</v>
      </c>
      <c r="AK13" s="29">
        <f t="shared" si="8"/>
        <v>2048.1664349639382</v>
      </c>
    </row>
    <row r="14" spans="1:37">
      <c r="A14" s="5">
        <v>9</v>
      </c>
      <c r="B14" s="9" t="s">
        <v>15</v>
      </c>
      <c r="C14" s="7">
        <v>12726.051012198466</v>
      </c>
      <c r="D14" s="7">
        <v>11908.402234664711</v>
      </c>
      <c r="E14" s="7">
        <v>10586.123021533131</v>
      </c>
      <c r="F14" s="7">
        <v>7550.0708896659144</v>
      </c>
      <c r="G14" s="7">
        <v>4547.4943531378221</v>
      </c>
      <c r="H14" s="5">
        <v>9</v>
      </c>
      <c r="I14" s="9" t="s">
        <v>15</v>
      </c>
      <c r="J14" s="8">
        <v>7863.9518807447203</v>
      </c>
      <c r="K14" s="8">
        <v>7358.6929724068741</v>
      </c>
      <c r="L14" s="8">
        <v>6541.6021014832468</v>
      </c>
      <c r="M14" s="8">
        <v>4665.5002494986302</v>
      </c>
      <c r="N14" s="8">
        <v>2810.0843487705229</v>
      </c>
      <c r="P14" s="14"/>
      <c r="Q14" s="9" t="s">
        <v>15</v>
      </c>
      <c r="R14" s="93" t="str">
        <f t="shared" si="9"/>
        <v>55 -5910000</v>
      </c>
      <c r="S14" s="92">
        <f t="shared" si="0"/>
        <v>10821.471949148356</v>
      </c>
      <c r="T14" s="93" t="str">
        <f t="shared" si="10"/>
        <v>55 -5915000</v>
      </c>
      <c r="U14" s="92">
        <f t="shared" si="1"/>
        <v>10126.192376415569</v>
      </c>
      <c r="V14" s="93" t="str">
        <f t="shared" si="11"/>
        <v>55 -5920000</v>
      </c>
      <c r="W14" s="92">
        <f t="shared" si="2"/>
        <v>9001.8052904193282</v>
      </c>
      <c r="X14" s="93" t="str">
        <f t="shared" si="12"/>
        <v>55 -5930000</v>
      </c>
      <c r="Y14" s="92">
        <f t="shared" si="3"/>
        <v>6420.128307539042</v>
      </c>
      <c r="Z14" s="93" t="str">
        <f t="shared" si="13"/>
        <v>55 -5945000</v>
      </c>
      <c r="AA14" s="92">
        <f t="shared" si="4"/>
        <v>3866.9169669539297</v>
      </c>
      <c r="AB14" s="93" t="s">
        <v>255</v>
      </c>
      <c r="AC14" s="29">
        <f t="shared" si="14"/>
        <v>6687.0339121978905</v>
      </c>
      <c r="AD14" s="93" t="s">
        <v>269</v>
      </c>
      <c r="AE14" s="29">
        <f t="shared" si="5"/>
        <v>6257.3919833391774</v>
      </c>
      <c r="AF14" s="93" t="s">
        <v>283</v>
      </c>
      <c r="AG14" s="29">
        <f t="shared" si="6"/>
        <v>5562.5868209891541</v>
      </c>
      <c r="AH14" s="93" t="s">
        <v>297</v>
      </c>
      <c r="AI14" s="29">
        <f t="shared" si="7"/>
        <v>3967.2621169206036</v>
      </c>
      <c r="AJ14" s="93" t="s">
        <v>311</v>
      </c>
      <c r="AK14" s="29">
        <f t="shared" si="8"/>
        <v>2389.5275074579272</v>
      </c>
    </row>
    <row r="15" spans="1:37">
      <c r="A15" s="5">
        <v>10</v>
      </c>
      <c r="B15" s="9" t="s">
        <v>16</v>
      </c>
      <c r="C15" s="7">
        <v>18180.072874569236</v>
      </c>
      <c r="D15" s="7">
        <v>17012.003192378161</v>
      </c>
      <c r="E15" s="7">
        <v>15123.032887904476</v>
      </c>
      <c r="F15" s="7">
        <v>10785.815556665593</v>
      </c>
      <c r="G15" s="7">
        <v>6496.4205044826049</v>
      </c>
      <c r="H15" s="5">
        <v>10</v>
      </c>
      <c r="I15" s="9" t="s">
        <v>16</v>
      </c>
      <c r="J15" s="8">
        <v>11234.216972492459</v>
      </c>
      <c r="K15" s="8">
        <v>10512.41853200982</v>
      </c>
      <c r="L15" s="8">
        <v>9345.1458592617782</v>
      </c>
      <c r="M15" s="8">
        <v>6665.0003564266162</v>
      </c>
      <c r="N15" s="8">
        <v>4014.4062125293185</v>
      </c>
      <c r="P15" s="14"/>
      <c r="Q15" s="9" t="s">
        <v>16</v>
      </c>
      <c r="R15" s="93" t="str">
        <f t="shared" si="9"/>
        <v>60 - 6410000</v>
      </c>
      <c r="S15" s="92">
        <f t="shared" si="0"/>
        <v>15459.245641640504</v>
      </c>
      <c r="T15" s="93" t="str">
        <f t="shared" si="10"/>
        <v>60 - 6415000</v>
      </c>
      <c r="U15" s="92">
        <f t="shared" si="1"/>
        <v>14465.989109165101</v>
      </c>
      <c r="V15" s="93" t="str">
        <f t="shared" si="11"/>
        <v>60 - 6420000</v>
      </c>
      <c r="W15" s="92">
        <f t="shared" si="2"/>
        <v>12859.721843456186</v>
      </c>
      <c r="X15" s="93" t="str">
        <f t="shared" si="12"/>
        <v>60 - 6430000</v>
      </c>
      <c r="Y15" s="92">
        <f t="shared" si="3"/>
        <v>9171.6118679129195</v>
      </c>
      <c r="Z15" s="93" t="str">
        <f t="shared" si="13"/>
        <v>60 - 6445000</v>
      </c>
      <c r="AA15" s="92">
        <f t="shared" si="4"/>
        <v>5524.1670956484732</v>
      </c>
      <c r="AB15" s="93" t="s">
        <v>256</v>
      </c>
      <c r="AC15" s="29">
        <f t="shared" si="14"/>
        <v>9552.9055888541297</v>
      </c>
      <c r="AD15" s="93" t="s">
        <v>270</v>
      </c>
      <c r="AE15" s="29">
        <f t="shared" si="5"/>
        <v>8939.1314047702544</v>
      </c>
      <c r="AF15" s="93" t="s">
        <v>284</v>
      </c>
      <c r="AG15" s="29">
        <f t="shared" si="6"/>
        <v>7946.5526014130746</v>
      </c>
      <c r="AH15" s="93" t="s">
        <v>298</v>
      </c>
      <c r="AI15" s="29">
        <f t="shared" si="7"/>
        <v>5667.517309886578</v>
      </c>
      <c r="AJ15" s="93" t="s">
        <v>312</v>
      </c>
      <c r="AK15" s="29">
        <f t="shared" si="8"/>
        <v>3413.6107249398965</v>
      </c>
    </row>
    <row r="16" spans="1:37">
      <c r="A16" s="5">
        <v>11</v>
      </c>
      <c r="B16" s="9" t="s">
        <v>17</v>
      </c>
      <c r="C16" s="7">
        <v>31815.127530496167</v>
      </c>
      <c r="D16" s="7">
        <v>29771.005586661777</v>
      </c>
      <c r="E16" s="7">
        <v>26465.30755383283</v>
      </c>
      <c r="F16" s="7">
        <v>18875.177224164785</v>
      </c>
      <c r="G16" s="7">
        <v>11368.735882844554</v>
      </c>
      <c r="H16" s="5">
        <v>11</v>
      </c>
      <c r="I16" s="9" t="s">
        <v>17</v>
      </c>
      <c r="J16" s="8">
        <v>19659.879701861799</v>
      </c>
      <c r="K16" s="8">
        <v>18396.732431017183</v>
      </c>
      <c r="L16" s="8">
        <v>16354.005253708114</v>
      </c>
      <c r="M16" s="8">
        <v>11663.750623746577</v>
      </c>
      <c r="N16" s="8">
        <v>7025.2108719263088</v>
      </c>
      <c r="P16" s="14"/>
      <c r="Q16" s="9" t="s">
        <v>17</v>
      </c>
      <c r="R16" s="93" t="str">
        <f t="shared" si="9"/>
        <v>65 - 6910000</v>
      </c>
      <c r="S16" s="92">
        <f t="shared" si="0"/>
        <v>27053.679872870889</v>
      </c>
      <c r="T16" s="93" t="str">
        <f t="shared" si="10"/>
        <v>65 - 6915000</v>
      </c>
      <c r="U16" s="92">
        <f t="shared" si="1"/>
        <v>25315.480941038921</v>
      </c>
      <c r="V16" s="93" t="str">
        <f t="shared" si="11"/>
        <v>65 - 6920000</v>
      </c>
      <c r="W16" s="92">
        <f t="shared" si="2"/>
        <v>22504.513226048322</v>
      </c>
      <c r="X16" s="93" t="str">
        <f t="shared" si="12"/>
        <v>65 - 6930000</v>
      </c>
      <c r="Y16" s="92">
        <f t="shared" si="3"/>
        <v>16050.320768847605</v>
      </c>
      <c r="Z16" s="93" t="str">
        <f t="shared" si="13"/>
        <v>65 - 6945000</v>
      </c>
      <c r="AA16" s="92">
        <f t="shared" si="4"/>
        <v>9667.2924173848223</v>
      </c>
      <c r="AB16" s="93" t="s">
        <v>257</v>
      </c>
      <c r="AC16" s="29">
        <f t="shared" si="14"/>
        <v>16717.584780494723</v>
      </c>
      <c r="AD16" s="93" t="s">
        <v>271</v>
      </c>
      <c r="AE16" s="29">
        <f t="shared" si="5"/>
        <v>15643.47995834794</v>
      </c>
      <c r="AF16" s="93" t="s">
        <v>285</v>
      </c>
      <c r="AG16" s="29">
        <f t="shared" si="6"/>
        <v>13906.467052472884</v>
      </c>
      <c r="AH16" s="93" t="s">
        <v>299</v>
      </c>
      <c r="AI16" s="29">
        <f t="shared" si="7"/>
        <v>9918.1552923015097</v>
      </c>
      <c r="AJ16" s="93" t="s">
        <v>313</v>
      </c>
      <c r="AK16" s="29">
        <f t="shared" si="8"/>
        <v>5973.8187686448191</v>
      </c>
    </row>
    <row r="17" spans="1:37">
      <c r="A17" s="5">
        <v>12</v>
      </c>
      <c r="B17" s="9" t="s">
        <v>18</v>
      </c>
      <c r="C17" s="7">
        <v>40905.163967780791</v>
      </c>
      <c r="D17" s="7">
        <v>38277.007182850859</v>
      </c>
      <c r="E17" s="7">
        <v>34026.823997785068</v>
      </c>
      <c r="F17" s="7">
        <v>24268.085002497584</v>
      </c>
      <c r="G17" s="7">
        <v>14616.946135085858</v>
      </c>
      <c r="H17" s="5">
        <v>12</v>
      </c>
      <c r="I17" s="9" t="s">
        <v>18</v>
      </c>
      <c r="J17" s="8">
        <v>25276.988188108036</v>
      </c>
      <c r="K17" s="8">
        <v>23652.941697022095</v>
      </c>
      <c r="L17" s="8">
        <v>21026.578183339003</v>
      </c>
      <c r="M17" s="8">
        <v>14996.250801959884</v>
      </c>
      <c r="N17" s="8">
        <v>9032.4139781909671</v>
      </c>
      <c r="P17" s="14"/>
      <c r="Q17" s="9" t="s">
        <v>18</v>
      </c>
      <c r="R17" s="93" t="str">
        <f t="shared" si="9"/>
        <v>70 - 7410000</v>
      </c>
      <c r="S17" s="92">
        <f t="shared" si="0"/>
        <v>34783.302693691141</v>
      </c>
      <c r="T17" s="93" t="str">
        <f t="shared" si="10"/>
        <v>70 - 7415000</v>
      </c>
      <c r="U17" s="92">
        <f t="shared" si="1"/>
        <v>32548.475495621478</v>
      </c>
      <c r="V17" s="93" t="str">
        <f t="shared" si="11"/>
        <v>70 - 7420000</v>
      </c>
      <c r="W17" s="92">
        <f t="shared" si="2"/>
        <v>28934.374147776412</v>
      </c>
      <c r="X17" s="93" t="str">
        <f t="shared" si="12"/>
        <v>70 - 7430000</v>
      </c>
      <c r="Y17" s="92">
        <f t="shared" si="3"/>
        <v>20636.126702804064</v>
      </c>
      <c r="Z17" s="93" t="str">
        <f t="shared" si="13"/>
        <v>70 - 7445000</v>
      </c>
      <c r="AA17" s="92">
        <f t="shared" si="4"/>
        <v>12429.375965209061</v>
      </c>
      <c r="AB17" s="93" t="s">
        <v>258</v>
      </c>
      <c r="AC17" s="29">
        <f t="shared" si="14"/>
        <v>21494.037574921796</v>
      </c>
      <c r="AD17" s="93" t="s">
        <v>272</v>
      </c>
      <c r="AE17" s="29">
        <f t="shared" si="5"/>
        <v>20113.045660733071</v>
      </c>
      <c r="AF17" s="93" t="s">
        <v>286</v>
      </c>
      <c r="AG17" s="29">
        <f t="shared" si="6"/>
        <v>17879.743353179423</v>
      </c>
      <c r="AH17" s="93" t="s">
        <v>300</v>
      </c>
      <c r="AI17" s="29">
        <f t="shared" si="7"/>
        <v>12751.913947244799</v>
      </c>
      <c r="AJ17" s="93" t="s">
        <v>314</v>
      </c>
      <c r="AK17" s="29">
        <f t="shared" si="8"/>
        <v>7680.624131114766</v>
      </c>
    </row>
    <row r="18" spans="1:37">
      <c r="A18" s="5">
        <v>13</v>
      </c>
      <c r="B18" s="9" t="s">
        <v>19</v>
      </c>
      <c r="C18" s="7">
        <v>72720.291498276943</v>
      </c>
      <c r="D18" s="7">
        <v>68048.012769512643</v>
      </c>
      <c r="E18" s="7">
        <v>60492.131551617902</v>
      </c>
      <c r="F18" s="7">
        <v>43143.262226662373</v>
      </c>
      <c r="G18" s="7">
        <v>25985.68201793042</v>
      </c>
      <c r="H18" s="5">
        <v>13</v>
      </c>
      <c r="I18" s="9" t="s">
        <v>19</v>
      </c>
      <c r="J18" s="8">
        <v>44936.867889969835</v>
      </c>
      <c r="K18" s="8">
        <v>42049.674128039282</v>
      </c>
      <c r="L18" s="8">
        <v>37380.583437047113</v>
      </c>
      <c r="M18" s="8">
        <v>26660.001425706465</v>
      </c>
      <c r="N18" s="8">
        <v>16057.624850117274</v>
      </c>
      <c r="P18" s="14"/>
      <c r="Q18" s="9" t="s">
        <v>19</v>
      </c>
      <c r="R18" s="93" t="str">
        <f t="shared" si="9"/>
        <v>75 - 7910000</v>
      </c>
      <c r="S18" s="92">
        <f t="shared" si="0"/>
        <v>61836.982566562016</v>
      </c>
      <c r="T18" s="93" t="str">
        <f t="shared" si="10"/>
        <v>75 - 7915000</v>
      </c>
      <c r="U18" s="92">
        <f t="shared" si="1"/>
        <v>57863.956436660403</v>
      </c>
      <c r="V18" s="93" t="str">
        <f t="shared" si="11"/>
        <v>75 - 7920000</v>
      </c>
      <c r="W18" s="92">
        <f t="shared" si="2"/>
        <v>51438.887373824742</v>
      </c>
      <c r="X18" s="93" t="str">
        <f t="shared" si="12"/>
        <v>75 - 7930000</v>
      </c>
      <c r="Y18" s="92">
        <f t="shared" si="3"/>
        <v>36686.447471651678</v>
      </c>
      <c r="Z18" s="93" t="str">
        <f t="shared" si="13"/>
        <v>75 - 7945000</v>
      </c>
      <c r="AA18" s="92">
        <f t="shared" si="4"/>
        <v>22096.668382593893</v>
      </c>
      <c r="AB18" s="93" t="s">
        <v>259</v>
      </c>
      <c r="AC18" s="29">
        <f t="shared" si="14"/>
        <v>38211.622355416519</v>
      </c>
      <c r="AD18" s="93" t="s">
        <v>273</v>
      </c>
      <c r="AE18" s="29">
        <f t="shared" si="5"/>
        <v>35756.525619081018</v>
      </c>
      <c r="AF18" s="93" t="s">
        <v>287</v>
      </c>
      <c r="AG18" s="29">
        <f t="shared" si="6"/>
        <v>31786.210405652299</v>
      </c>
      <c r="AH18" s="93" t="s">
        <v>301</v>
      </c>
      <c r="AI18" s="29">
        <f t="shared" si="7"/>
        <v>22670.069239546312</v>
      </c>
      <c r="AJ18" s="93" t="s">
        <v>315</v>
      </c>
      <c r="AK18" s="29">
        <f t="shared" si="8"/>
        <v>13654.442899759586</v>
      </c>
    </row>
    <row r="19" spans="1:37">
      <c r="A19" s="5">
        <v>14</v>
      </c>
      <c r="B19" s="9" t="s">
        <v>20</v>
      </c>
      <c r="C19" s="7">
        <v>90900.36437284619</v>
      </c>
      <c r="D19" s="7">
        <v>85060.015961890793</v>
      </c>
      <c r="E19" s="7">
        <v>75615.16443952237</v>
      </c>
      <c r="F19" s="7">
        <v>53929.077783327972</v>
      </c>
      <c r="G19" s="7">
        <v>32482.102522413021</v>
      </c>
      <c r="H19" s="5">
        <v>14</v>
      </c>
      <c r="I19" s="9" t="s">
        <v>20</v>
      </c>
      <c r="J19" s="8">
        <v>56171.084862462296</v>
      </c>
      <c r="K19" s="8">
        <v>52562.092660049108</v>
      </c>
      <c r="L19" s="8">
        <v>46725.729296308891</v>
      </c>
      <c r="M19" s="8">
        <v>33325.001782133077</v>
      </c>
      <c r="N19" s="8">
        <v>20072.031062646598</v>
      </c>
      <c r="Q19" s="9" t="s">
        <v>20</v>
      </c>
      <c r="R19" s="93" t="str">
        <f t="shared" si="9"/>
        <v>80+10000</v>
      </c>
      <c r="S19" s="92">
        <f t="shared" si="0"/>
        <v>77296.228208202534</v>
      </c>
      <c r="T19" s="93" t="str">
        <f t="shared" si="10"/>
        <v>80+15000</v>
      </c>
      <c r="U19" s="92">
        <f t="shared" si="1"/>
        <v>72329.945545825496</v>
      </c>
      <c r="V19" s="93" t="str">
        <f t="shared" si="11"/>
        <v>80+20000</v>
      </c>
      <c r="W19" s="92">
        <f t="shared" si="2"/>
        <v>64298.609217280922</v>
      </c>
      <c r="X19" s="93" t="str">
        <f t="shared" si="12"/>
        <v>80+30000</v>
      </c>
      <c r="Y19" s="92">
        <f t="shared" si="3"/>
        <v>45858.059339564592</v>
      </c>
      <c r="Z19" s="93" t="str">
        <f t="shared" si="13"/>
        <v>80+45000</v>
      </c>
      <c r="AA19" s="92">
        <f t="shared" si="4"/>
        <v>27620.835478242363</v>
      </c>
      <c r="AB19" s="93" t="s">
        <v>260</v>
      </c>
      <c r="AC19" s="29">
        <f t="shared" si="14"/>
        <v>47764.527944270652</v>
      </c>
      <c r="AD19" s="93" t="s">
        <v>274</v>
      </c>
      <c r="AE19" s="29">
        <f t="shared" si="5"/>
        <v>44695.657023851272</v>
      </c>
      <c r="AF19" s="93" t="s">
        <v>288</v>
      </c>
      <c r="AG19" s="29">
        <f t="shared" si="6"/>
        <v>39732.763007065376</v>
      </c>
      <c r="AH19" s="93" t="s">
        <v>302</v>
      </c>
      <c r="AI19" s="29">
        <f t="shared" si="7"/>
        <v>28337.586549432883</v>
      </c>
      <c r="AJ19" s="93" t="s">
        <v>316</v>
      </c>
      <c r="AK19" s="29">
        <f t="shared" si="8"/>
        <v>17068.053624699485</v>
      </c>
    </row>
    <row r="20" spans="1:37">
      <c r="B20" s="10"/>
      <c r="C20" s="11"/>
      <c r="D20" s="11"/>
      <c r="E20" s="11"/>
      <c r="F20" s="11"/>
      <c r="G20" s="11"/>
      <c r="I20" s="10"/>
      <c r="J20" s="11"/>
      <c r="K20" s="11"/>
      <c r="L20" s="11"/>
      <c r="M20" s="11"/>
      <c r="N20" s="11"/>
      <c r="Q20" s="94"/>
      <c r="R20" s="17" t="str">
        <f t="shared" ref="R20" si="15">CONCATENATE(Q20,$S$3)</f>
        <v>10000</v>
      </c>
      <c r="S20" s="95"/>
      <c r="T20" s="17" t="str">
        <f t="shared" si="10"/>
        <v>15000</v>
      </c>
      <c r="U20" s="94"/>
      <c r="V20" s="17" t="str">
        <f t="shared" si="11"/>
        <v>20000</v>
      </c>
      <c r="W20" s="94"/>
      <c r="X20" s="17" t="str">
        <f t="shared" si="12"/>
        <v>30000</v>
      </c>
      <c r="Y20" s="94"/>
      <c r="Z20" s="17" t="str">
        <f t="shared" si="13"/>
        <v>45000</v>
      </c>
      <c r="AC20" s="29"/>
      <c r="AD20" s="29"/>
      <c r="AE20" s="29"/>
      <c r="AF20" s="29"/>
      <c r="AG20" s="29"/>
      <c r="AH20" s="29"/>
      <c r="AI20" s="29"/>
      <c r="AJ20" s="29"/>
      <c r="AK20" s="29"/>
    </row>
    <row r="21" spans="1:37">
      <c r="A21" s="5">
        <v>1</v>
      </c>
      <c r="B21" s="6" t="s">
        <v>3</v>
      </c>
      <c r="C21" s="7">
        <v>2404.3202400000005</v>
      </c>
      <c r="D21" s="7">
        <v>2249.8408800000002</v>
      </c>
      <c r="E21" s="7">
        <v>2000.0232000000003</v>
      </c>
      <c r="F21" s="7">
        <v>1426.4292000000003</v>
      </c>
      <c r="G21" s="7">
        <v>859.15032000000019</v>
      </c>
      <c r="H21" s="5">
        <v>1</v>
      </c>
      <c r="I21" s="6" t="s">
        <v>3</v>
      </c>
      <c r="J21" s="8">
        <v>1485.7231200000001</v>
      </c>
      <c r="K21" s="8">
        <v>1390.2672000000002</v>
      </c>
      <c r="L21" s="8">
        <v>1235.8936800000004</v>
      </c>
      <c r="M21" s="8">
        <v>881.44728000000009</v>
      </c>
      <c r="N21" s="8">
        <v>530.90520000000004</v>
      </c>
      <c r="Q21" s="6" t="s">
        <v>3</v>
      </c>
      <c r="R21" s="93" t="str">
        <f t="shared" ref="R21" si="16">CONCATENATE(Q21,$S$3)</f>
        <v>1 Hijo10000</v>
      </c>
      <c r="S21" s="92">
        <f t="shared" ref="S21:S23" si="17">C21/1.05/1.12</f>
        <v>2044.49</v>
      </c>
      <c r="T21" s="93" t="str">
        <f t="shared" si="10"/>
        <v>1 Hijo15000</v>
      </c>
      <c r="U21" s="92">
        <f t="shared" ref="U21:U23" si="18">D21/1.05/1.12</f>
        <v>1913.13</v>
      </c>
      <c r="V21" s="93" t="str">
        <f t="shared" si="11"/>
        <v>1 Hijo20000</v>
      </c>
      <c r="W21" s="92">
        <f t="shared" ref="W21:W23" si="19">E21/1.05/1.12</f>
        <v>1700.7</v>
      </c>
      <c r="X21" s="93" t="str">
        <f t="shared" si="12"/>
        <v>1 Hijo30000</v>
      </c>
      <c r="Y21" s="92">
        <f t="shared" ref="Y21:Y23" si="20">F21/1.05/1.12</f>
        <v>1212.95</v>
      </c>
      <c r="Z21" s="93" t="str">
        <f t="shared" si="13"/>
        <v>1 Hijo45000</v>
      </c>
      <c r="AA21" s="92">
        <f t="shared" ref="AA21:AA23" si="21">G21/1.05/1.12</f>
        <v>730.57</v>
      </c>
      <c r="AB21" s="92"/>
      <c r="AC21" s="29">
        <f t="shared" si="14"/>
        <v>1263.3699999999999</v>
      </c>
      <c r="AD21" s="29"/>
      <c r="AE21" s="29">
        <f t="shared" si="5"/>
        <v>1182.2</v>
      </c>
      <c r="AF21" s="29"/>
      <c r="AG21" s="29">
        <f>L21/1.05/1.12</f>
        <v>1050.93</v>
      </c>
      <c r="AH21" s="29"/>
      <c r="AI21" s="29">
        <f>M21/1.05/1.12</f>
        <v>749.53</v>
      </c>
      <c r="AJ21" s="29"/>
      <c r="AK21" s="29">
        <f>N21/1.05/1.12</f>
        <v>451.45</v>
      </c>
    </row>
    <row r="22" spans="1:37">
      <c r="A22" s="5">
        <v>2</v>
      </c>
      <c r="B22" s="9" t="s">
        <v>5</v>
      </c>
      <c r="C22" s="7">
        <v>4808.6287200000006</v>
      </c>
      <c r="D22" s="7">
        <v>4499.67</v>
      </c>
      <c r="E22" s="7">
        <v>4000.0464000000006</v>
      </c>
      <c r="F22" s="7">
        <v>2852.8466400000002</v>
      </c>
      <c r="G22" s="7">
        <v>1718.3006400000004</v>
      </c>
      <c r="H22" s="5">
        <v>2</v>
      </c>
      <c r="I22" s="9" t="s">
        <v>5</v>
      </c>
      <c r="J22" s="8">
        <v>2971.4462400000002</v>
      </c>
      <c r="K22" s="8">
        <v>2780.5344000000005</v>
      </c>
      <c r="L22" s="8">
        <v>2471.7873600000007</v>
      </c>
      <c r="M22" s="8">
        <v>1762.8945600000002</v>
      </c>
      <c r="N22" s="8">
        <v>1061.8104000000001</v>
      </c>
      <c r="Q22" s="9" t="s">
        <v>5</v>
      </c>
      <c r="R22" s="93" t="str">
        <f t="shared" ref="R22" si="22">CONCATENATE(Q22,$S$3)</f>
        <v>2 Hijos10000</v>
      </c>
      <c r="S22" s="92">
        <f t="shared" si="17"/>
        <v>4088.9700000000003</v>
      </c>
      <c r="T22" s="93" t="str">
        <f t="shared" si="10"/>
        <v>2 Hijos15000</v>
      </c>
      <c r="U22" s="92">
        <f t="shared" si="18"/>
        <v>3826.2499999999991</v>
      </c>
      <c r="V22" s="93" t="str">
        <f t="shared" si="11"/>
        <v>2 Hijos20000</v>
      </c>
      <c r="W22" s="92">
        <f t="shared" si="19"/>
        <v>3401.4</v>
      </c>
      <c r="X22" s="93" t="str">
        <f t="shared" si="12"/>
        <v>2 Hijos30000</v>
      </c>
      <c r="Y22" s="92">
        <f t="shared" si="20"/>
        <v>2425.89</v>
      </c>
      <c r="Z22" s="93" t="str">
        <f t="shared" si="13"/>
        <v>2 Hijos45000</v>
      </c>
      <c r="AA22" s="92">
        <f t="shared" si="21"/>
        <v>1461.14</v>
      </c>
      <c r="AB22" s="92"/>
      <c r="AC22" s="29">
        <f t="shared" si="14"/>
        <v>2526.7399999999998</v>
      </c>
      <c r="AD22" s="29"/>
      <c r="AE22" s="29">
        <f t="shared" ref="AE22:AE23" si="23">K22/1.05/1.12</f>
        <v>2364.4</v>
      </c>
      <c r="AF22" s="29"/>
      <c r="AG22" s="29">
        <f t="shared" ref="AG22:AG23" si="24">L22/1.05/1.12</f>
        <v>2101.86</v>
      </c>
      <c r="AH22" s="29"/>
      <c r="AI22" s="29">
        <f t="shared" ref="AI22:AI23" si="25">M22/1.05/1.12</f>
        <v>1499.06</v>
      </c>
      <c r="AJ22" s="29"/>
      <c r="AK22" s="29">
        <f t="shared" ref="AK22:AK23" si="26">N22/1.05/1.12</f>
        <v>902.9</v>
      </c>
    </row>
    <row r="23" spans="1:37">
      <c r="A23" s="5">
        <v>3</v>
      </c>
      <c r="B23" s="9" t="s">
        <v>8</v>
      </c>
      <c r="C23" s="7">
        <v>8467.3646400000016</v>
      </c>
      <c r="D23" s="7">
        <v>7923.3352800000011</v>
      </c>
      <c r="E23" s="7">
        <v>7043.5579200000011</v>
      </c>
      <c r="F23" s="7">
        <v>5023.4956800000009</v>
      </c>
      <c r="G23" s="7">
        <v>3025.7068800000006</v>
      </c>
      <c r="H23" s="5">
        <v>3</v>
      </c>
      <c r="I23" s="9" t="s">
        <v>8</v>
      </c>
      <c r="J23" s="8">
        <v>5232.3415200000009</v>
      </c>
      <c r="K23" s="8">
        <v>4896.1584000000003</v>
      </c>
      <c r="L23" s="8">
        <v>4352.505360000001</v>
      </c>
      <c r="M23" s="8">
        <v>3104.2284000000004</v>
      </c>
      <c r="N23" s="8">
        <v>1869.7106400000002</v>
      </c>
      <c r="Q23" s="9" t="s">
        <v>8</v>
      </c>
      <c r="R23" s="93" t="str">
        <f t="shared" ref="R23" si="27">CONCATENATE(Q23,$S$3)</f>
        <v>3 o Más Hijos10000</v>
      </c>
      <c r="S23" s="92">
        <f t="shared" si="17"/>
        <v>7200.14</v>
      </c>
      <c r="T23" s="93" t="str">
        <f t="shared" ref="T23" si="28">CONCATENATE(Q23,$U$3)</f>
        <v>3 o Más Hijos15000</v>
      </c>
      <c r="U23" s="92">
        <f t="shared" si="18"/>
        <v>6737.53</v>
      </c>
      <c r="V23" s="93" t="str">
        <f t="shared" ref="V23" si="29">CONCATENATE(Q23,$W$3)</f>
        <v>3 o Más Hijos20000</v>
      </c>
      <c r="W23" s="92">
        <f t="shared" si="19"/>
        <v>5989.42</v>
      </c>
      <c r="X23" s="93" t="str">
        <f t="shared" ref="X23" si="30">CONCATENATE(Q23,$Y$3)</f>
        <v>3 o Más Hijos30000</v>
      </c>
      <c r="Y23" s="92">
        <f t="shared" si="20"/>
        <v>4271.6799999999994</v>
      </c>
      <c r="Z23" s="93" t="str">
        <f t="shared" si="13"/>
        <v>3 o Más Hijos45000</v>
      </c>
      <c r="AA23" s="92">
        <f t="shared" si="21"/>
        <v>2572.88</v>
      </c>
      <c r="AB23" s="92"/>
      <c r="AC23" s="29">
        <f t="shared" si="14"/>
        <v>4449.2700000000004</v>
      </c>
      <c r="AD23" s="29"/>
      <c r="AE23" s="29">
        <f t="shared" si="23"/>
        <v>4163.3999999999996</v>
      </c>
      <c r="AF23" s="29"/>
      <c r="AG23" s="29">
        <f t="shared" si="24"/>
        <v>3701.1100000000006</v>
      </c>
      <c r="AH23" s="29"/>
      <c r="AI23" s="29">
        <f t="shared" si="25"/>
        <v>2639.65</v>
      </c>
      <c r="AJ23" s="29"/>
      <c r="AK23" s="29">
        <f t="shared" si="26"/>
        <v>1589.89</v>
      </c>
    </row>
    <row r="24" spans="1:37">
      <c r="B24" s="21"/>
      <c r="C24" s="12"/>
      <c r="D24" s="12"/>
      <c r="E24" s="12"/>
      <c r="F24" s="12"/>
      <c r="G24" s="12"/>
      <c r="J24" s="12"/>
      <c r="K24" s="12"/>
      <c r="L24" s="12"/>
      <c r="M24" s="12"/>
      <c r="N24" s="12"/>
    </row>
    <row r="25" spans="1:37" ht="21">
      <c r="B25" s="22" t="s">
        <v>27</v>
      </c>
      <c r="C25" s="12"/>
      <c r="D25" s="12"/>
      <c r="E25" s="12"/>
      <c r="F25" s="12"/>
      <c r="G25" s="12"/>
      <c r="J25" s="12"/>
      <c r="K25" s="12"/>
      <c r="L25" s="12"/>
      <c r="M25" s="12"/>
      <c r="N25" s="12"/>
    </row>
    <row r="26" spans="1:37">
      <c r="A26" s="5">
        <v>1</v>
      </c>
      <c r="B26" s="9" t="s">
        <v>25</v>
      </c>
      <c r="C26" s="25">
        <v>5999.9520000000011</v>
      </c>
      <c r="D26" s="26"/>
      <c r="E26" s="26"/>
      <c r="F26" s="26"/>
      <c r="G26" s="27"/>
      <c r="H26" s="5">
        <v>1</v>
      </c>
      <c r="I26" s="9" t="s">
        <v>25</v>
      </c>
      <c r="J26" s="23">
        <v>3643.2480000000005</v>
      </c>
      <c r="K26" s="24"/>
      <c r="L26" s="24"/>
      <c r="M26" s="24"/>
      <c r="N26" s="24"/>
    </row>
    <row r="27" spans="1:37">
      <c r="C27" s="12">
        <f>+C26/1.12/1.05</f>
        <v>5102</v>
      </c>
      <c r="E27" s="16"/>
      <c r="F27" s="16"/>
      <c r="G27" s="16"/>
      <c r="J27" s="12">
        <f>+J26/1.12/1.05</f>
        <v>3098</v>
      </c>
    </row>
    <row r="28" spans="1:37" ht="27.75" customHeight="1">
      <c r="B28" s="271" t="s">
        <v>26</v>
      </c>
      <c r="C28" s="272"/>
      <c r="E28" s="20"/>
      <c r="F28" s="20"/>
      <c r="G28" s="16"/>
      <c r="I28" s="16"/>
      <c r="J28" s="16"/>
      <c r="AE28" s="2" t="s">
        <v>21</v>
      </c>
      <c r="AG28" s="2" t="s">
        <v>23</v>
      </c>
    </row>
    <row r="29" spans="1:37">
      <c r="B29" s="6" t="s">
        <v>0</v>
      </c>
      <c r="C29" s="13">
        <v>0.02</v>
      </c>
      <c r="E29" s="17"/>
      <c r="F29" s="18"/>
      <c r="G29" s="16"/>
      <c r="H29" s="16"/>
      <c r="I29" s="17"/>
      <c r="J29" s="16"/>
      <c r="AE29" s="2" t="s">
        <v>22</v>
      </c>
      <c r="AG29" s="2" t="s">
        <v>24</v>
      </c>
    </row>
    <row r="30" spans="1:37">
      <c r="B30" s="9" t="s">
        <v>4</v>
      </c>
      <c r="C30" s="13">
        <v>0.04</v>
      </c>
      <c r="E30" s="19"/>
      <c r="F30" s="18"/>
      <c r="G30" s="16"/>
      <c r="H30" s="16"/>
      <c r="I30" s="19"/>
      <c r="J30" s="16"/>
      <c r="AE30" s="1">
        <v>5102</v>
      </c>
      <c r="AF30" s="1"/>
      <c r="AG30" s="1">
        <v>3098</v>
      </c>
      <c r="AH30" s="1"/>
    </row>
    <row r="31" spans="1:37">
      <c r="B31" s="9" t="s">
        <v>6</v>
      </c>
      <c r="C31" s="13">
        <v>0.08</v>
      </c>
      <c r="E31" s="19"/>
      <c r="F31" s="18"/>
      <c r="G31" s="16"/>
      <c r="H31" s="16"/>
      <c r="I31" s="19"/>
      <c r="J31" s="16"/>
    </row>
    <row r="32" spans="1:37">
      <c r="E32" s="16"/>
      <c r="F32" s="16"/>
      <c r="G32" s="16"/>
      <c r="H32" s="16"/>
      <c r="I32" s="16"/>
      <c r="J32" s="16"/>
    </row>
    <row r="33" spans="2:14">
      <c r="B33" s="6">
        <v>19</v>
      </c>
      <c r="C33" s="29">
        <f>+C6+$C$26</f>
        <v>9635.9665749138494</v>
      </c>
      <c r="D33" s="29">
        <f t="shared" ref="D33:G33" si="31">+D6+$C$26</f>
        <v>9402.3526384756333</v>
      </c>
      <c r="E33" s="29">
        <f t="shared" si="31"/>
        <v>9024.5585775808959</v>
      </c>
      <c r="F33" s="29">
        <f t="shared" si="31"/>
        <v>8157.1151113331198</v>
      </c>
      <c r="G33" s="29">
        <f t="shared" si="31"/>
        <v>7299.2361008965217</v>
      </c>
      <c r="H33" s="16"/>
      <c r="I33" s="16"/>
      <c r="J33" s="30">
        <f>+J6+$J$26</f>
        <v>5890.0913944984923</v>
      </c>
      <c r="K33" s="30">
        <f t="shared" ref="K33:N33" si="32">+K6+$J$26</f>
        <v>5745.7317064019644</v>
      </c>
      <c r="L33" s="30">
        <f t="shared" si="32"/>
        <v>5512.2771718523563</v>
      </c>
      <c r="M33" s="30">
        <f t="shared" si="32"/>
        <v>4976.248071285323</v>
      </c>
      <c r="N33" s="30">
        <f t="shared" si="32"/>
        <v>4446.1292425058646</v>
      </c>
    </row>
    <row r="34" spans="2:14">
      <c r="B34" s="9" t="s">
        <v>7</v>
      </c>
      <c r="C34" s="29">
        <f>+C7+$C$26</f>
        <v>11908.475684235003</v>
      </c>
      <c r="D34" s="29">
        <f t="shared" ref="D34:G34" si="33">+D7+$C$26</f>
        <v>11528.853037522902</v>
      </c>
      <c r="E34" s="29">
        <f t="shared" si="33"/>
        <v>10914.937688568956</v>
      </c>
      <c r="F34" s="29">
        <f t="shared" si="33"/>
        <v>9505.3420559163187</v>
      </c>
      <c r="G34" s="29">
        <f t="shared" si="33"/>
        <v>8111.2886639568478</v>
      </c>
      <c r="J34" s="30">
        <f t="shared" ref="J34:N34" si="34">+J7+$J$26</f>
        <v>7294.3685160600508</v>
      </c>
      <c r="K34" s="30">
        <f t="shared" si="34"/>
        <v>7059.7840229031926</v>
      </c>
      <c r="L34" s="30">
        <f t="shared" si="34"/>
        <v>6680.4204042600795</v>
      </c>
      <c r="M34" s="30">
        <f t="shared" si="34"/>
        <v>5809.3731158386508</v>
      </c>
      <c r="N34" s="30">
        <f t="shared" si="34"/>
        <v>4947.9300190720296</v>
      </c>
    </row>
    <row r="35" spans="2:14">
      <c r="B35" s="9" t="s">
        <v>9</v>
      </c>
      <c r="C35" s="29">
        <f t="shared" ref="C35:G35" si="35">+C8+$C$26</f>
        <v>13726.482971691927</v>
      </c>
      <c r="D35" s="29">
        <f t="shared" si="35"/>
        <v>13230.05335676072</v>
      </c>
      <c r="E35" s="29">
        <f t="shared" si="35"/>
        <v>12427.240977359404</v>
      </c>
      <c r="F35" s="29">
        <f t="shared" si="35"/>
        <v>10583.923611582877</v>
      </c>
      <c r="G35" s="29">
        <f t="shared" si="35"/>
        <v>8760.9307144051072</v>
      </c>
      <c r="J35" s="30">
        <f t="shared" ref="J35:N35" si="36">+J8+$J$26</f>
        <v>8417.7902133092957</v>
      </c>
      <c r="K35" s="30">
        <f t="shared" si="36"/>
        <v>8111.0258761041741</v>
      </c>
      <c r="L35" s="30">
        <f t="shared" si="36"/>
        <v>7614.934990186257</v>
      </c>
      <c r="M35" s="30">
        <f t="shared" si="36"/>
        <v>6475.8731514813117</v>
      </c>
      <c r="N35" s="30">
        <f t="shared" si="36"/>
        <v>5349.3706403249616</v>
      </c>
    </row>
    <row r="36" spans="2:14">
      <c r="B36" s="9" t="s">
        <v>10</v>
      </c>
      <c r="C36" s="29">
        <f t="shared" ref="C36:G36" si="37">+C9+$C$26</f>
        <v>15089.988437284619</v>
      </c>
      <c r="D36" s="29">
        <f t="shared" si="37"/>
        <v>14505.953596189082</v>
      </c>
      <c r="E36" s="29">
        <f t="shared" si="37"/>
        <v>13561.468443952239</v>
      </c>
      <c r="F36" s="29">
        <f t="shared" si="37"/>
        <v>11392.859778332797</v>
      </c>
      <c r="G36" s="29">
        <f t="shared" si="37"/>
        <v>9248.1622522413036</v>
      </c>
      <c r="J36" s="30">
        <f t="shared" ref="J36:N36" si="38">+J9+$J$26</f>
        <v>9260.3564862462299</v>
      </c>
      <c r="K36" s="30">
        <f t="shared" si="38"/>
        <v>8899.4572660049107</v>
      </c>
      <c r="L36" s="30">
        <f t="shared" si="38"/>
        <v>8315.8209296308887</v>
      </c>
      <c r="M36" s="30">
        <f t="shared" si="38"/>
        <v>6975.7481782133091</v>
      </c>
      <c r="N36" s="30">
        <f t="shared" si="38"/>
        <v>5650.4511062646598</v>
      </c>
    </row>
    <row r="37" spans="2:14">
      <c r="B37" s="9" t="s">
        <v>11</v>
      </c>
      <c r="C37" s="29">
        <f>+C10+$C$26</f>
        <v>15544.49025914885</v>
      </c>
      <c r="D37" s="29">
        <f t="shared" ref="D37:G37" si="39">+D10+$C$26</f>
        <v>14931.253675998534</v>
      </c>
      <c r="E37" s="29">
        <f t="shared" si="39"/>
        <v>13939.544266149849</v>
      </c>
      <c r="F37" s="29">
        <f t="shared" si="39"/>
        <v>11662.505167249437</v>
      </c>
      <c r="G37" s="29">
        <f t="shared" si="39"/>
        <v>9410.5727648533684</v>
      </c>
      <c r="J37" s="30">
        <f t="shared" ref="J37:N37" si="40">+J10+$J$26</f>
        <v>9541.2119105585407</v>
      </c>
      <c r="K37" s="30">
        <f t="shared" si="40"/>
        <v>9162.2677293051565</v>
      </c>
      <c r="L37" s="30">
        <f t="shared" si="40"/>
        <v>8549.4495761124344</v>
      </c>
      <c r="M37" s="30">
        <f t="shared" si="40"/>
        <v>7142.3731871239743</v>
      </c>
      <c r="N37" s="30">
        <f t="shared" si="40"/>
        <v>5750.8112615778928</v>
      </c>
    </row>
    <row r="38" spans="2:14">
      <c r="B38" s="9" t="s">
        <v>12</v>
      </c>
      <c r="C38" s="29">
        <f>+C11+$C$26</f>
        <v>15998.992081013082</v>
      </c>
      <c r="D38" s="29">
        <f t="shared" ref="D38:G38" si="41">+D11+$C$26</f>
        <v>15356.55375580799</v>
      </c>
      <c r="E38" s="29">
        <f t="shared" si="41"/>
        <v>14317.620088347463</v>
      </c>
      <c r="F38" s="29">
        <f t="shared" si="41"/>
        <v>11932.150556166078</v>
      </c>
      <c r="G38" s="29">
        <f t="shared" si="41"/>
        <v>9572.9832774654333</v>
      </c>
      <c r="J38" s="30">
        <f t="shared" ref="J38:N38" si="42">+J11+$J$26</f>
        <v>9822.0673348708515</v>
      </c>
      <c r="K38" s="30">
        <f t="shared" si="42"/>
        <v>9425.0781926054005</v>
      </c>
      <c r="L38" s="30">
        <f t="shared" si="42"/>
        <v>8783.0782225939802</v>
      </c>
      <c r="M38" s="30">
        <f t="shared" si="42"/>
        <v>7308.9981960346395</v>
      </c>
      <c r="N38" s="30">
        <f t="shared" si="42"/>
        <v>5851.1714168911258</v>
      </c>
    </row>
    <row r="39" spans="2:14">
      <c r="B39" s="9" t="s">
        <v>13</v>
      </c>
      <c r="C39" s="29">
        <f>+C12</f>
        <v>10453.54190287731</v>
      </c>
      <c r="D39" s="29">
        <f t="shared" ref="D39:G39" si="43">+D12</f>
        <v>9781.901835617442</v>
      </c>
      <c r="E39" s="29">
        <f t="shared" si="43"/>
        <v>8695.7439105450721</v>
      </c>
      <c r="F39" s="29">
        <f t="shared" si="43"/>
        <v>6201.8439450827145</v>
      </c>
      <c r="G39" s="29">
        <f t="shared" si="43"/>
        <v>3735.441790077497</v>
      </c>
      <c r="J39" s="30">
        <f t="shared" ref="J39:N39" si="44">+J12+$J$26</f>
        <v>10102.922759183164</v>
      </c>
      <c r="K39" s="30">
        <f t="shared" si="44"/>
        <v>9687.8886559056464</v>
      </c>
      <c r="L39" s="30">
        <f t="shared" si="44"/>
        <v>9016.7068690755223</v>
      </c>
      <c r="M39" s="30">
        <f t="shared" si="44"/>
        <v>7475.6232049453038</v>
      </c>
      <c r="N39" s="30">
        <f t="shared" si="44"/>
        <v>5951.5315722043579</v>
      </c>
    </row>
    <row r="40" spans="2:14">
      <c r="B40" s="9" t="s">
        <v>14</v>
      </c>
      <c r="C40" s="29">
        <f t="shared" ref="C40:G40" si="45">+C13</f>
        <v>10908.043724741541</v>
      </c>
      <c r="D40" s="29">
        <f t="shared" si="45"/>
        <v>10207.201915426895</v>
      </c>
      <c r="E40" s="29">
        <f t="shared" si="45"/>
        <v>9073.8197327426842</v>
      </c>
      <c r="F40" s="29">
        <f t="shared" si="45"/>
        <v>6471.489333999355</v>
      </c>
      <c r="G40" s="29">
        <f t="shared" si="45"/>
        <v>3897.8523026895614</v>
      </c>
      <c r="J40" s="30">
        <f t="shared" ref="J40:N40" si="46">+J13+$J$26</f>
        <v>10383.778183495477</v>
      </c>
      <c r="K40" s="30">
        <f t="shared" si="46"/>
        <v>9950.6991192058922</v>
      </c>
      <c r="L40" s="30">
        <f t="shared" si="46"/>
        <v>9250.335515557068</v>
      </c>
      <c r="M40" s="30">
        <f t="shared" si="46"/>
        <v>7642.248213855969</v>
      </c>
      <c r="N40" s="30">
        <f t="shared" si="46"/>
        <v>6051.8917275175918</v>
      </c>
    </row>
    <row r="41" spans="2:14">
      <c r="B41" s="9" t="s">
        <v>15</v>
      </c>
      <c r="C41" s="29">
        <f t="shared" ref="C41:G41" si="47">+C14</f>
        <v>12726.051012198466</v>
      </c>
      <c r="D41" s="29">
        <f t="shared" si="47"/>
        <v>11908.402234664711</v>
      </c>
      <c r="E41" s="29">
        <f t="shared" si="47"/>
        <v>10586.123021533131</v>
      </c>
      <c r="F41" s="29">
        <f t="shared" si="47"/>
        <v>7550.0708896659144</v>
      </c>
      <c r="G41" s="29">
        <f t="shared" si="47"/>
        <v>4547.4943531378221</v>
      </c>
      <c r="J41" s="30">
        <f t="shared" ref="J41:N41" si="48">+J14+$J$26</f>
        <v>11507.19988074472</v>
      </c>
      <c r="K41" s="30">
        <f t="shared" si="48"/>
        <v>11001.940972406876</v>
      </c>
      <c r="L41" s="30">
        <f t="shared" si="48"/>
        <v>10184.850101483247</v>
      </c>
      <c r="M41" s="30">
        <f t="shared" si="48"/>
        <v>8308.7482494986307</v>
      </c>
      <c r="N41" s="30">
        <f t="shared" si="48"/>
        <v>6453.3323487705238</v>
      </c>
    </row>
    <row r="42" spans="2:14">
      <c r="B42" s="9" t="s">
        <v>16</v>
      </c>
      <c r="C42" s="29">
        <f t="shared" ref="C42:G42" si="49">+C15</f>
        <v>18180.072874569236</v>
      </c>
      <c r="D42" s="29">
        <f t="shared" si="49"/>
        <v>17012.003192378161</v>
      </c>
      <c r="E42" s="29">
        <f t="shared" si="49"/>
        <v>15123.032887904476</v>
      </c>
      <c r="F42" s="29">
        <f t="shared" si="49"/>
        <v>10785.815556665593</v>
      </c>
      <c r="G42" s="29">
        <f t="shared" si="49"/>
        <v>6496.4205044826049</v>
      </c>
      <c r="J42" s="30">
        <f t="shared" ref="J42:N42" si="50">+J15+$J$26</f>
        <v>14877.46497249246</v>
      </c>
      <c r="K42" s="30">
        <f t="shared" si="50"/>
        <v>14155.666532009822</v>
      </c>
      <c r="L42" s="30">
        <f t="shared" si="50"/>
        <v>12988.393859261778</v>
      </c>
      <c r="M42" s="30">
        <f t="shared" si="50"/>
        <v>10308.248356426617</v>
      </c>
      <c r="N42" s="30">
        <f t="shared" si="50"/>
        <v>7657.654212529319</v>
      </c>
    </row>
    <row r="43" spans="2:14">
      <c r="B43" s="9" t="s">
        <v>17</v>
      </c>
      <c r="C43" s="29">
        <f t="shared" ref="C43:G43" si="51">+C16</f>
        <v>31815.127530496167</v>
      </c>
      <c r="D43" s="29">
        <f t="shared" si="51"/>
        <v>29771.005586661777</v>
      </c>
      <c r="E43" s="29">
        <f t="shared" si="51"/>
        <v>26465.30755383283</v>
      </c>
      <c r="F43" s="29">
        <f t="shared" si="51"/>
        <v>18875.177224164785</v>
      </c>
      <c r="G43" s="29">
        <f t="shared" si="51"/>
        <v>11368.735882844554</v>
      </c>
      <c r="J43" s="30">
        <f t="shared" ref="J43:N43" si="52">+J16+$J$26</f>
        <v>23303.127701861798</v>
      </c>
      <c r="K43" s="30">
        <f t="shared" si="52"/>
        <v>22039.980431017182</v>
      </c>
      <c r="L43" s="30">
        <f t="shared" si="52"/>
        <v>19997.253253708113</v>
      </c>
      <c r="M43" s="30">
        <f t="shared" si="52"/>
        <v>15306.998623746578</v>
      </c>
      <c r="N43" s="30">
        <f t="shared" si="52"/>
        <v>10668.458871926308</v>
      </c>
    </row>
    <row r="44" spans="2:14">
      <c r="B44" s="9" t="s">
        <v>18</v>
      </c>
      <c r="C44" s="29">
        <f t="shared" ref="C44:G44" si="53">+C17</f>
        <v>40905.163967780791</v>
      </c>
      <c r="D44" s="29">
        <f t="shared" si="53"/>
        <v>38277.007182850859</v>
      </c>
      <c r="E44" s="29">
        <f t="shared" si="53"/>
        <v>34026.823997785068</v>
      </c>
      <c r="F44" s="29">
        <f t="shared" si="53"/>
        <v>24268.085002497584</v>
      </c>
      <c r="G44" s="29">
        <f t="shared" si="53"/>
        <v>14616.946135085858</v>
      </c>
      <c r="J44" s="30">
        <f t="shared" ref="J44:N44" si="54">+J17+$J$26</f>
        <v>28920.236188108036</v>
      </c>
      <c r="K44" s="30">
        <f t="shared" si="54"/>
        <v>27296.189697022095</v>
      </c>
      <c r="L44" s="30">
        <f t="shared" si="54"/>
        <v>24669.826183339002</v>
      </c>
      <c r="M44" s="30">
        <f t="shared" si="54"/>
        <v>18639.498801959886</v>
      </c>
      <c r="N44" s="30">
        <f t="shared" si="54"/>
        <v>12675.661978190969</v>
      </c>
    </row>
    <row r="45" spans="2:14">
      <c r="B45" s="9" t="s">
        <v>19</v>
      </c>
      <c r="C45" s="29">
        <f t="shared" ref="C45:G45" si="55">+C18</f>
        <v>72720.291498276943</v>
      </c>
      <c r="D45" s="29">
        <f t="shared" si="55"/>
        <v>68048.012769512643</v>
      </c>
      <c r="E45" s="29">
        <f t="shared" si="55"/>
        <v>60492.131551617902</v>
      </c>
      <c r="F45" s="29">
        <f t="shared" si="55"/>
        <v>43143.262226662373</v>
      </c>
      <c r="G45" s="29">
        <f t="shared" si="55"/>
        <v>25985.68201793042</v>
      </c>
      <c r="J45" s="30">
        <f t="shared" ref="J45:N45" si="56">+J18+$J$26</f>
        <v>48580.115889969835</v>
      </c>
      <c r="K45" s="30">
        <f t="shared" si="56"/>
        <v>45692.922128039281</v>
      </c>
      <c r="L45" s="30">
        <f t="shared" si="56"/>
        <v>41023.831437047113</v>
      </c>
      <c r="M45" s="30">
        <f t="shared" si="56"/>
        <v>30303.249425706465</v>
      </c>
      <c r="N45" s="30">
        <f t="shared" si="56"/>
        <v>19700.872850117274</v>
      </c>
    </row>
    <row r="46" spans="2:14">
      <c r="B46" s="9" t="s">
        <v>20</v>
      </c>
      <c r="C46" s="29">
        <f t="shared" ref="C46:G46" si="57">+C19</f>
        <v>90900.36437284619</v>
      </c>
      <c r="D46" s="29">
        <f t="shared" si="57"/>
        <v>85060.015961890793</v>
      </c>
      <c r="E46" s="29">
        <f t="shared" si="57"/>
        <v>75615.16443952237</v>
      </c>
      <c r="F46" s="29">
        <f t="shared" si="57"/>
        <v>53929.077783327972</v>
      </c>
      <c r="G46" s="29">
        <f t="shared" si="57"/>
        <v>32482.102522413021</v>
      </c>
      <c r="J46" s="30">
        <f t="shared" ref="J46:N46" si="58">+J19+$J$26</f>
        <v>59814.332862462295</v>
      </c>
      <c r="K46" s="30">
        <f t="shared" si="58"/>
        <v>56205.340660049107</v>
      </c>
      <c r="L46" s="30">
        <f t="shared" si="58"/>
        <v>50368.977296308891</v>
      </c>
      <c r="M46" s="30">
        <f t="shared" si="58"/>
        <v>36968.249782133076</v>
      </c>
      <c r="N46" s="30">
        <f t="shared" si="58"/>
        <v>23715.279062646598</v>
      </c>
    </row>
    <row r="47" spans="2:14">
      <c r="C47" s="29"/>
      <c r="D47" s="29"/>
      <c r="E47" s="29"/>
      <c r="F47" s="29"/>
      <c r="G47" s="29"/>
      <c r="J47" s="30"/>
      <c r="K47" s="30"/>
      <c r="L47" s="30"/>
      <c r="M47" s="30"/>
      <c r="N47" s="30"/>
    </row>
    <row r="49" spans="2:14">
      <c r="B49" s="6">
        <v>19</v>
      </c>
      <c r="C49" s="12">
        <f>+C33/12</f>
        <v>802.99721457615408</v>
      </c>
      <c r="D49" s="12">
        <f t="shared" ref="D49:G49" si="59">+D33/12</f>
        <v>783.52938653963611</v>
      </c>
      <c r="E49" s="12">
        <f t="shared" si="59"/>
        <v>752.04654813174136</v>
      </c>
      <c r="F49" s="12">
        <f t="shared" si="59"/>
        <v>679.75959261109335</v>
      </c>
      <c r="G49" s="12">
        <f t="shared" si="59"/>
        <v>608.26967507471011</v>
      </c>
      <c r="J49" s="12">
        <f>+J33/12</f>
        <v>490.84094954154102</v>
      </c>
      <c r="K49" s="12">
        <f t="shared" ref="K49:N49" si="60">+K33/12</f>
        <v>478.81097553349701</v>
      </c>
      <c r="L49" s="12">
        <f t="shared" si="60"/>
        <v>459.35643098769634</v>
      </c>
      <c r="M49" s="12">
        <f t="shared" si="60"/>
        <v>414.6873392737769</v>
      </c>
      <c r="N49" s="12">
        <f t="shared" si="60"/>
        <v>370.51077020882207</v>
      </c>
    </row>
    <row r="50" spans="2:14">
      <c r="B50" s="9" t="s">
        <v>7</v>
      </c>
      <c r="C50" s="12">
        <f t="shared" ref="C50:G50" si="61">+C34/12</f>
        <v>992.37297368625025</v>
      </c>
      <c r="D50" s="12">
        <f t="shared" si="61"/>
        <v>960.7377531269085</v>
      </c>
      <c r="E50" s="12">
        <f t="shared" si="61"/>
        <v>909.57814071407972</v>
      </c>
      <c r="F50" s="12">
        <f t="shared" si="61"/>
        <v>792.1118379930266</v>
      </c>
      <c r="G50" s="12">
        <f t="shared" si="61"/>
        <v>675.94072199640402</v>
      </c>
      <c r="J50" s="12">
        <f t="shared" ref="J50:N50" si="62">+J34/12</f>
        <v>607.86404300500419</v>
      </c>
      <c r="K50" s="12">
        <f t="shared" si="62"/>
        <v>588.31533524193276</v>
      </c>
      <c r="L50" s="12">
        <f t="shared" si="62"/>
        <v>556.70170035500666</v>
      </c>
      <c r="M50" s="12">
        <f t="shared" si="62"/>
        <v>484.11442631988757</v>
      </c>
      <c r="N50" s="12">
        <f t="shared" si="62"/>
        <v>412.32750158933578</v>
      </c>
    </row>
    <row r="51" spans="2:14">
      <c r="B51" s="9" t="s">
        <v>9</v>
      </c>
      <c r="C51" s="12">
        <f t="shared" ref="C51:G51" si="63">+C35/12</f>
        <v>1143.8735809743273</v>
      </c>
      <c r="D51" s="12">
        <f t="shared" si="63"/>
        <v>1102.5044463967267</v>
      </c>
      <c r="E51" s="12">
        <f t="shared" si="63"/>
        <v>1035.6034147799503</v>
      </c>
      <c r="F51" s="12">
        <f t="shared" si="63"/>
        <v>881.99363429857306</v>
      </c>
      <c r="G51" s="12">
        <f t="shared" si="63"/>
        <v>730.07755953375897</v>
      </c>
      <c r="J51" s="12">
        <f t="shared" ref="J51:N51" si="64">+J35/12</f>
        <v>701.48251777577468</v>
      </c>
      <c r="K51" s="12">
        <f t="shared" si="64"/>
        <v>675.91882300868122</v>
      </c>
      <c r="L51" s="12">
        <f t="shared" si="64"/>
        <v>634.57791584885479</v>
      </c>
      <c r="M51" s="12">
        <f t="shared" si="64"/>
        <v>539.65609595677597</v>
      </c>
      <c r="N51" s="12">
        <f t="shared" si="64"/>
        <v>445.78088669374682</v>
      </c>
    </row>
    <row r="52" spans="2:14">
      <c r="B52" s="9" t="s">
        <v>10</v>
      </c>
      <c r="C52" s="12">
        <f t="shared" ref="C52:G52" si="65">+C36/12</f>
        <v>1257.499036440385</v>
      </c>
      <c r="D52" s="12">
        <f t="shared" si="65"/>
        <v>1208.8294663490901</v>
      </c>
      <c r="E52" s="12">
        <f t="shared" si="65"/>
        <v>1130.1223703293533</v>
      </c>
      <c r="F52" s="12">
        <f t="shared" si="65"/>
        <v>949.40498152773307</v>
      </c>
      <c r="G52" s="12">
        <f t="shared" si="65"/>
        <v>770.6801876867753</v>
      </c>
      <c r="J52" s="12">
        <f t="shared" ref="J52:N52" si="66">+J36/12</f>
        <v>771.69637385385249</v>
      </c>
      <c r="K52" s="12">
        <f t="shared" si="66"/>
        <v>741.62143883374256</v>
      </c>
      <c r="L52" s="12">
        <f t="shared" si="66"/>
        <v>692.98507746924076</v>
      </c>
      <c r="M52" s="12">
        <f t="shared" si="66"/>
        <v>581.31234818444238</v>
      </c>
      <c r="N52" s="12">
        <f t="shared" si="66"/>
        <v>470.87092552205496</v>
      </c>
    </row>
    <row r="53" spans="2:14">
      <c r="B53" s="9" t="s">
        <v>11</v>
      </c>
      <c r="C53" s="12">
        <f t="shared" ref="C53:G53" si="67">+C37/12</f>
        <v>1295.3741882624042</v>
      </c>
      <c r="D53" s="12">
        <f t="shared" si="67"/>
        <v>1244.2711396665445</v>
      </c>
      <c r="E53" s="12">
        <f t="shared" si="67"/>
        <v>1161.6286888458208</v>
      </c>
      <c r="F53" s="12">
        <f t="shared" si="67"/>
        <v>971.87543060411974</v>
      </c>
      <c r="G53" s="12">
        <f t="shared" si="67"/>
        <v>784.21439707111404</v>
      </c>
      <c r="J53" s="12">
        <f t="shared" ref="J53:N53" si="68">+J37/12</f>
        <v>795.10099254654506</v>
      </c>
      <c r="K53" s="12">
        <f t="shared" si="68"/>
        <v>763.52231077542967</v>
      </c>
      <c r="L53" s="12">
        <f t="shared" si="68"/>
        <v>712.45413134270291</v>
      </c>
      <c r="M53" s="12">
        <f t="shared" si="68"/>
        <v>595.19776559366449</v>
      </c>
      <c r="N53" s="12">
        <f t="shared" si="68"/>
        <v>479.23427179815775</v>
      </c>
    </row>
    <row r="54" spans="2:14">
      <c r="B54" s="9" t="s">
        <v>12</v>
      </c>
      <c r="C54" s="12">
        <f t="shared" ref="C54:G54" si="69">+C38/12</f>
        <v>1333.2493400844235</v>
      </c>
      <c r="D54" s="12">
        <f t="shared" si="69"/>
        <v>1279.7128129839991</v>
      </c>
      <c r="E54" s="12">
        <f t="shared" si="69"/>
        <v>1193.1350073622887</v>
      </c>
      <c r="F54" s="12">
        <f t="shared" si="69"/>
        <v>994.34587968050653</v>
      </c>
      <c r="G54" s="12">
        <f t="shared" si="69"/>
        <v>797.74860645545277</v>
      </c>
      <c r="J54" s="12">
        <f t="shared" ref="J54:N54" si="70">+J38/12</f>
        <v>818.50561123923762</v>
      </c>
      <c r="K54" s="12">
        <f t="shared" si="70"/>
        <v>785.42318271711667</v>
      </c>
      <c r="L54" s="12">
        <f t="shared" si="70"/>
        <v>731.92318521616505</v>
      </c>
      <c r="M54" s="12">
        <f t="shared" si="70"/>
        <v>609.08318300288659</v>
      </c>
      <c r="N54" s="12">
        <f t="shared" si="70"/>
        <v>487.59761807426048</v>
      </c>
    </row>
    <row r="55" spans="2:14">
      <c r="B55" s="9" t="s">
        <v>13</v>
      </c>
      <c r="C55" s="12">
        <f t="shared" ref="C55:G55" si="71">+C39/12</f>
        <v>871.12849190644249</v>
      </c>
      <c r="D55" s="12">
        <f t="shared" si="71"/>
        <v>815.15848630145354</v>
      </c>
      <c r="E55" s="12">
        <f t="shared" si="71"/>
        <v>724.64532587875601</v>
      </c>
      <c r="F55" s="12">
        <f t="shared" si="71"/>
        <v>516.82032875689288</v>
      </c>
      <c r="G55" s="12">
        <f t="shared" si="71"/>
        <v>311.28681583979142</v>
      </c>
      <c r="J55" s="12">
        <f t="shared" ref="J55:N55" si="72">+J39/12</f>
        <v>841.9102299319303</v>
      </c>
      <c r="K55" s="12">
        <f t="shared" si="72"/>
        <v>807.3240546588039</v>
      </c>
      <c r="L55" s="12">
        <f t="shared" si="72"/>
        <v>751.39223908962686</v>
      </c>
      <c r="M55" s="12">
        <f t="shared" si="72"/>
        <v>622.96860041210869</v>
      </c>
      <c r="N55" s="12">
        <f t="shared" si="72"/>
        <v>495.96096435036316</v>
      </c>
    </row>
    <row r="56" spans="2:14">
      <c r="B56" s="9" t="s">
        <v>14</v>
      </c>
      <c r="C56" s="12">
        <f t="shared" ref="C56:G56" si="73">+C40/12</f>
        <v>909.00364372846173</v>
      </c>
      <c r="D56" s="12">
        <f t="shared" si="73"/>
        <v>850.60015961890792</v>
      </c>
      <c r="E56" s="12">
        <f t="shared" si="73"/>
        <v>756.15164439522368</v>
      </c>
      <c r="F56" s="12">
        <f t="shared" si="73"/>
        <v>539.29077783327955</v>
      </c>
      <c r="G56" s="12">
        <f t="shared" si="73"/>
        <v>324.8210252241301</v>
      </c>
      <c r="J56" s="12">
        <f t="shared" ref="J56:N56" si="74">+J40/12</f>
        <v>865.3148486246231</v>
      </c>
      <c r="K56" s="12">
        <f t="shared" si="74"/>
        <v>829.22492660049102</v>
      </c>
      <c r="L56" s="12">
        <f t="shared" si="74"/>
        <v>770.861292963089</v>
      </c>
      <c r="M56" s="12">
        <f t="shared" si="74"/>
        <v>636.85401782133079</v>
      </c>
      <c r="N56" s="12">
        <f t="shared" si="74"/>
        <v>504.324310626466</v>
      </c>
    </row>
    <row r="57" spans="2:14">
      <c r="B57" s="9" t="s">
        <v>15</v>
      </c>
      <c r="C57" s="12">
        <f t="shared" ref="C57:G57" si="75">+C41/12</f>
        <v>1060.5042510165388</v>
      </c>
      <c r="D57" s="12">
        <f t="shared" si="75"/>
        <v>992.36685288872593</v>
      </c>
      <c r="E57" s="12">
        <f t="shared" si="75"/>
        <v>882.17691846109426</v>
      </c>
      <c r="F57" s="12">
        <f t="shared" si="75"/>
        <v>629.17257413882623</v>
      </c>
      <c r="G57" s="12">
        <f t="shared" si="75"/>
        <v>378.95786276148516</v>
      </c>
      <c r="J57" s="12">
        <f t="shared" ref="J57:N57" si="76">+J41/12</f>
        <v>958.93332339539336</v>
      </c>
      <c r="K57" s="12">
        <f t="shared" si="76"/>
        <v>916.82841436723959</v>
      </c>
      <c r="L57" s="12">
        <f t="shared" si="76"/>
        <v>848.73750845693723</v>
      </c>
      <c r="M57" s="12">
        <f t="shared" si="76"/>
        <v>692.39568745821919</v>
      </c>
      <c r="N57" s="12">
        <f t="shared" si="76"/>
        <v>537.77769573087699</v>
      </c>
    </row>
    <row r="58" spans="2:14">
      <c r="B58" s="9" t="s">
        <v>16</v>
      </c>
      <c r="C58" s="12">
        <f t="shared" ref="C58:G58" si="77">+C42/12</f>
        <v>1515.0060728807696</v>
      </c>
      <c r="D58" s="12">
        <f t="shared" si="77"/>
        <v>1417.6669326981801</v>
      </c>
      <c r="E58" s="12">
        <f t="shared" si="77"/>
        <v>1260.2527406587062</v>
      </c>
      <c r="F58" s="12">
        <f t="shared" si="77"/>
        <v>898.81796305546607</v>
      </c>
      <c r="G58" s="12">
        <f t="shared" si="77"/>
        <v>541.36837537355041</v>
      </c>
      <c r="J58" s="12">
        <f t="shared" ref="J58:N58" si="78">+J42/12</f>
        <v>1239.7887477077049</v>
      </c>
      <c r="K58" s="12">
        <f t="shared" si="78"/>
        <v>1179.6388776674851</v>
      </c>
      <c r="L58" s="12">
        <f t="shared" si="78"/>
        <v>1082.3661549384815</v>
      </c>
      <c r="M58" s="12">
        <f t="shared" si="78"/>
        <v>859.02069636888473</v>
      </c>
      <c r="N58" s="12">
        <f t="shared" si="78"/>
        <v>638.13785104410988</v>
      </c>
    </row>
    <row r="59" spans="2:14">
      <c r="B59" s="9" t="s">
        <v>17</v>
      </c>
      <c r="C59" s="12">
        <f t="shared" ref="C59:G59" si="79">+C43/12</f>
        <v>2651.2606275413473</v>
      </c>
      <c r="D59" s="12">
        <f t="shared" si="79"/>
        <v>2480.9171322218149</v>
      </c>
      <c r="E59" s="12">
        <f t="shared" si="79"/>
        <v>2205.4422961527357</v>
      </c>
      <c r="F59" s="12">
        <f t="shared" si="79"/>
        <v>1572.9314353470654</v>
      </c>
      <c r="G59" s="12">
        <f t="shared" si="79"/>
        <v>947.39465690371287</v>
      </c>
      <c r="J59" s="12">
        <f t="shared" ref="J59:N59" si="80">+J43/12</f>
        <v>1941.9273084884833</v>
      </c>
      <c r="K59" s="12">
        <f t="shared" si="80"/>
        <v>1836.6650359180985</v>
      </c>
      <c r="L59" s="12">
        <f t="shared" si="80"/>
        <v>1666.4377711423429</v>
      </c>
      <c r="M59" s="12">
        <f t="shared" si="80"/>
        <v>1275.5832186455482</v>
      </c>
      <c r="N59" s="12">
        <f t="shared" si="80"/>
        <v>889.0382393271924</v>
      </c>
    </row>
    <row r="60" spans="2:14">
      <c r="B60" s="9" t="s">
        <v>18</v>
      </c>
      <c r="C60" s="12">
        <f t="shared" ref="C60:G60" si="81">+C44/12</f>
        <v>3408.7636639817324</v>
      </c>
      <c r="D60" s="12">
        <f t="shared" si="81"/>
        <v>3189.7505985709049</v>
      </c>
      <c r="E60" s="12">
        <f t="shared" si="81"/>
        <v>2835.5686664820892</v>
      </c>
      <c r="F60" s="12">
        <f t="shared" si="81"/>
        <v>2022.3404168747986</v>
      </c>
      <c r="G60" s="12">
        <f t="shared" si="81"/>
        <v>1218.0788445904882</v>
      </c>
      <c r="J60" s="12">
        <f t="shared" ref="J60:N60" si="82">+J44/12</f>
        <v>2410.0196823423362</v>
      </c>
      <c r="K60" s="12">
        <f t="shared" si="82"/>
        <v>2274.6824747518413</v>
      </c>
      <c r="L60" s="12">
        <f t="shared" si="82"/>
        <v>2055.8188486115837</v>
      </c>
      <c r="M60" s="12">
        <f t="shared" si="82"/>
        <v>1553.2915668299904</v>
      </c>
      <c r="N60" s="12">
        <f t="shared" si="82"/>
        <v>1056.3051648492474</v>
      </c>
    </row>
    <row r="61" spans="2:14">
      <c r="B61" s="9" t="s">
        <v>19</v>
      </c>
      <c r="C61" s="12">
        <f t="shared" ref="C61:G61" si="83">+C45/12</f>
        <v>6060.0242915230783</v>
      </c>
      <c r="D61" s="12">
        <f t="shared" si="83"/>
        <v>5670.6677307927202</v>
      </c>
      <c r="E61" s="12">
        <f t="shared" si="83"/>
        <v>5041.0109626348249</v>
      </c>
      <c r="F61" s="12">
        <f t="shared" si="83"/>
        <v>3595.2718522218643</v>
      </c>
      <c r="G61" s="12">
        <f t="shared" si="83"/>
        <v>2165.4735014942016</v>
      </c>
      <c r="J61" s="12">
        <f t="shared" ref="J61:N61" si="84">+J45/12</f>
        <v>4048.3429908308194</v>
      </c>
      <c r="K61" s="12">
        <f t="shared" si="84"/>
        <v>3807.74351066994</v>
      </c>
      <c r="L61" s="12">
        <f t="shared" si="84"/>
        <v>3418.652619753926</v>
      </c>
      <c r="M61" s="12">
        <f t="shared" si="84"/>
        <v>2525.2707854755386</v>
      </c>
      <c r="N61" s="12">
        <f t="shared" si="84"/>
        <v>1641.7394041764394</v>
      </c>
    </row>
    <row r="62" spans="2:14">
      <c r="B62" s="9" t="s">
        <v>20</v>
      </c>
      <c r="C62" s="12">
        <f t="shared" ref="C62:G62" si="85">+C46/12</f>
        <v>7575.0303644038495</v>
      </c>
      <c r="D62" s="12">
        <f t="shared" si="85"/>
        <v>7088.3346634908994</v>
      </c>
      <c r="E62" s="12">
        <f t="shared" si="85"/>
        <v>6301.2637032935309</v>
      </c>
      <c r="F62" s="12">
        <f t="shared" si="85"/>
        <v>4494.0898152773307</v>
      </c>
      <c r="G62" s="12">
        <f t="shared" si="85"/>
        <v>2706.8418768677516</v>
      </c>
      <c r="J62" s="12">
        <f t="shared" ref="J62:N62" si="86">+J46/12</f>
        <v>4984.5277385385243</v>
      </c>
      <c r="K62" s="12">
        <f t="shared" si="86"/>
        <v>4683.7783883374259</v>
      </c>
      <c r="L62" s="12">
        <f t="shared" si="86"/>
        <v>4197.4147746924073</v>
      </c>
      <c r="M62" s="12">
        <f t="shared" si="86"/>
        <v>3080.687481844423</v>
      </c>
      <c r="N62" s="12">
        <f t="shared" si="86"/>
        <v>1976.2732552205498</v>
      </c>
    </row>
    <row r="63" spans="2:14">
      <c r="C63" s="12"/>
      <c r="D63" s="12"/>
      <c r="E63" s="12"/>
      <c r="F63" s="12"/>
      <c r="G63" s="12"/>
      <c r="J63" s="12"/>
      <c r="K63" s="12"/>
      <c r="L63" s="12"/>
      <c r="M63" s="12"/>
      <c r="N63" s="12"/>
    </row>
    <row r="64" spans="2:14">
      <c r="C64" s="12"/>
      <c r="D64" s="12"/>
      <c r="E64" s="12"/>
      <c r="F64" s="12"/>
      <c r="G64" s="12"/>
      <c r="J64" s="12"/>
      <c r="K64" s="12"/>
      <c r="L64" s="12"/>
      <c r="M64" s="12"/>
      <c r="N64" s="12"/>
    </row>
    <row r="65" spans="2:15">
      <c r="C65" s="12"/>
      <c r="D65" s="12"/>
      <c r="E65" s="12"/>
      <c r="F65" s="12"/>
      <c r="G65" s="12"/>
      <c r="J65" s="12"/>
      <c r="K65" s="12"/>
      <c r="L65" s="12"/>
      <c r="M65" s="12"/>
      <c r="N65" s="12"/>
    </row>
    <row r="66" spans="2:15">
      <c r="C66" s="12"/>
      <c r="D66" s="12"/>
      <c r="E66" s="12"/>
      <c r="F66" s="12"/>
      <c r="G66" s="12"/>
      <c r="I66" s="21" t="s">
        <v>52</v>
      </c>
      <c r="J66" s="12"/>
      <c r="K66" s="12"/>
      <c r="L66" s="12"/>
      <c r="M66" s="12"/>
      <c r="N66" s="12"/>
    </row>
    <row r="67" spans="2:15">
      <c r="B67" s="2" t="s">
        <v>33</v>
      </c>
      <c r="C67" s="12" t="s">
        <v>34</v>
      </c>
      <c r="D67" s="12" t="s">
        <v>35</v>
      </c>
      <c r="E67" s="12" t="s">
        <v>35</v>
      </c>
      <c r="F67" s="12" t="s">
        <v>35</v>
      </c>
      <c r="G67" s="12" t="s">
        <v>35</v>
      </c>
      <c r="I67" s="33" t="s">
        <v>51</v>
      </c>
      <c r="J67" s="34">
        <v>10000</v>
      </c>
      <c r="K67" s="34">
        <v>20000</v>
      </c>
      <c r="L67" s="34">
        <v>45000</v>
      </c>
    </row>
    <row r="68" spans="2:15">
      <c r="B68" s="2" t="s">
        <v>36</v>
      </c>
      <c r="C68" s="12">
        <v>144.24446919149767</v>
      </c>
      <c r="D68" s="12">
        <v>238.937059792094</v>
      </c>
      <c r="E68" s="12">
        <v>264.3374545065783</v>
      </c>
      <c r="F68" s="12">
        <v>318.79267238139323</v>
      </c>
      <c r="G68" s="12">
        <v>400.90782476460424</v>
      </c>
      <c r="I68" s="33" t="s">
        <v>49</v>
      </c>
      <c r="J68" s="35">
        <v>5900.34</v>
      </c>
      <c r="K68" s="35">
        <v>4953.5200000000004</v>
      </c>
      <c r="L68" s="35">
        <v>3245.41</v>
      </c>
      <c r="M68" s="12"/>
    </row>
    <row r="69" spans="2:15">
      <c r="B69" s="2" t="s">
        <v>37</v>
      </c>
      <c r="C69" s="12">
        <v>188.62738278888159</v>
      </c>
      <c r="D69" s="12">
        <v>312.45615511273826</v>
      </c>
      <c r="E69" s="12">
        <v>345.6720558932177</v>
      </c>
      <c r="F69" s="12">
        <v>416.88272542182176</v>
      </c>
      <c r="G69" s="12">
        <v>524.26407853832848</v>
      </c>
      <c r="I69" s="33" t="s">
        <v>49</v>
      </c>
      <c r="J69" s="36">
        <f>+J68*7.65</f>
        <v>45137.601000000002</v>
      </c>
      <c r="K69" s="36">
        <f t="shared" ref="K69:L69" si="87">+K68*7.65</f>
        <v>37894.428000000007</v>
      </c>
      <c r="L69" s="36">
        <f t="shared" si="87"/>
        <v>24827.386500000001</v>
      </c>
    </row>
    <row r="70" spans="2:15">
      <c r="B70" s="2" t="s">
        <v>38</v>
      </c>
      <c r="C70" s="12">
        <v>221.91456798691956</v>
      </c>
      <c r="D70" s="12">
        <v>367.59547660322153</v>
      </c>
      <c r="E70" s="12">
        <v>406.67300693319743</v>
      </c>
      <c r="F70" s="12">
        <v>490.45026520214338</v>
      </c>
      <c r="G70" s="12">
        <v>616.78126886862196</v>
      </c>
      <c r="I70" s="33" t="s">
        <v>54</v>
      </c>
      <c r="J70" s="34">
        <f>+C10+C9</f>
        <v>18634.574696433468</v>
      </c>
      <c r="K70" s="34">
        <f>+E10+E9</f>
        <v>15501.108710102086</v>
      </c>
      <c r="L70" s="34">
        <f>+G10+G9</f>
        <v>6658.8310170946697</v>
      </c>
      <c r="M70" s="29"/>
    </row>
    <row r="71" spans="2:15">
      <c r="B71" s="2" t="s">
        <v>39</v>
      </c>
      <c r="C71" s="12">
        <v>233.01029638626548</v>
      </c>
      <c r="D71" s="12">
        <v>385.97525043338254</v>
      </c>
      <c r="E71" s="12">
        <v>427.00665727985717</v>
      </c>
      <c r="F71" s="12">
        <v>514.9727784622504</v>
      </c>
      <c r="G71" s="12">
        <v>647.62033231205305</v>
      </c>
      <c r="I71" s="33" t="s">
        <v>53</v>
      </c>
      <c r="J71" s="34">
        <f>+C37+C36-C26</f>
        <v>24634.52669643347</v>
      </c>
      <c r="K71" s="34">
        <f>+E37+E36-C26</f>
        <v>21501.060710102087</v>
      </c>
      <c r="L71" s="34">
        <f>+G37+G36-C26</f>
        <v>12658.783017094673</v>
      </c>
      <c r="O71" s="15"/>
    </row>
    <row r="72" spans="2:15" ht="43.5">
      <c r="B72" s="2" t="s">
        <v>40</v>
      </c>
      <c r="C72" s="12">
        <v>244.10602478561148</v>
      </c>
      <c r="D72" s="12">
        <v>404.35502426354378</v>
      </c>
      <c r="E72" s="12">
        <v>447.34030762651719</v>
      </c>
      <c r="F72" s="12">
        <v>539.49529172235771</v>
      </c>
      <c r="G72" s="12">
        <v>678.45939575548414</v>
      </c>
      <c r="I72" s="37" t="s">
        <v>50</v>
      </c>
      <c r="J72" s="34">
        <f>+(G85*12)+(G84*12)</f>
        <v>25012.834574168101</v>
      </c>
      <c r="K72" s="38"/>
      <c r="L72" s="33"/>
    </row>
    <row r="73" spans="2:15">
      <c r="B73" s="2" t="s">
        <v>41</v>
      </c>
      <c r="C73" s="12">
        <v>255.2017531849574</v>
      </c>
      <c r="D73" s="12">
        <v>422.73479809370468</v>
      </c>
      <c r="E73" s="12">
        <v>467.67395797317698</v>
      </c>
      <c r="F73" s="12">
        <v>564.01780498246478</v>
      </c>
      <c r="G73" s="12">
        <v>709.298459198915</v>
      </c>
      <c r="I73" s="33"/>
      <c r="J73" s="39">
        <f>+J69/J71</f>
        <v>1.8322901655965211</v>
      </c>
      <c r="K73" s="39">
        <f>+K69/K71</f>
        <v>1.762444584056992</v>
      </c>
      <c r="L73" s="39">
        <f>+L69/L71</f>
        <v>1.9612775151033557</v>
      </c>
    </row>
    <row r="74" spans="2:15">
      <c r="B74" s="2" t="s">
        <v>42</v>
      </c>
      <c r="C74" s="12">
        <v>266.29748158430345</v>
      </c>
      <c r="D74" s="12">
        <v>441.11457192386587</v>
      </c>
      <c r="E74" s="12">
        <v>488.00760831983689</v>
      </c>
      <c r="F74" s="12">
        <v>588.54031824257197</v>
      </c>
      <c r="G74" s="12">
        <v>740.13752264234631</v>
      </c>
      <c r="J74" s="32">
        <f>+J69/J70</f>
        <v>2.42225013102333</v>
      </c>
      <c r="K74" s="32">
        <f t="shared" ref="K74:L74" si="88">+K69/K70</f>
        <v>2.4446269430588647</v>
      </c>
      <c r="L74" s="32">
        <f t="shared" si="88"/>
        <v>3.7284902464505691</v>
      </c>
    </row>
    <row r="75" spans="2:15">
      <c r="B75" s="2" t="s">
        <v>43</v>
      </c>
      <c r="C75" s="12">
        <v>310.68039518168729</v>
      </c>
      <c r="D75" s="12">
        <v>514.63366724451009</v>
      </c>
      <c r="E75" s="12">
        <v>569.3422097064763</v>
      </c>
      <c r="F75" s="12">
        <v>686.63037128300073</v>
      </c>
      <c r="G75" s="12">
        <v>863.49377641607055</v>
      </c>
    </row>
    <row r="76" spans="2:15">
      <c r="B76" s="2" t="s">
        <v>44</v>
      </c>
      <c r="C76" s="12">
        <v>443.82913597383913</v>
      </c>
      <c r="D76" s="12">
        <v>735.19095320644306</v>
      </c>
      <c r="E76" s="12">
        <v>813.34601386639486</v>
      </c>
      <c r="F76" s="12">
        <v>980.90053040428677</v>
      </c>
      <c r="G76" s="12">
        <v>1233.5625377372439</v>
      </c>
    </row>
    <row r="77" spans="2:15">
      <c r="B77" s="2" t="s">
        <v>45</v>
      </c>
      <c r="C77" s="12">
        <v>776.70098795421848</v>
      </c>
      <c r="D77" s="12">
        <v>1286.5841681112754</v>
      </c>
      <c r="E77" s="12">
        <v>1423.3555242661907</v>
      </c>
      <c r="F77" s="12">
        <v>1716.5759282075016</v>
      </c>
      <c r="G77" s="12">
        <v>2158.734441040177</v>
      </c>
    </row>
    <row r="78" spans="2:15">
      <c r="B78" s="2" t="s">
        <v>46</v>
      </c>
      <c r="C78" s="12">
        <v>998.61555594113804</v>
      </c>
      <c r="D78" s="12">
        <v>1654.179644714497</v>
      </c>
      <c r="E78" s="12">
        <v>1830.0285311993882</v>
      </c>
      <c r="F78" s="12">
        <v>2207.0261934096452</v>
      </c>
      <c r="G78" s="12">
        <v>2775.5157099087987</v>
      </c>
    </row>
    <row r="79" spans="2:15">
      <c r="B79" s="2" t="s">
        <v>47</v>
      </c>
      <c r="C79" s="12">
        <v>1775.3165438953565</v>
      </c>
      <c r="D79" s="12">
        <v>2940.7638128257722</v>
      </c>
      <c r="E79" s="12">
        <v>3253.3840554655794</v>
      </c>
      <c r="F79" s="12">
        <v>3923.6021216171471</v>
      </c>
      <c r="G79" s="12">
        <v>4934.2501509489757</v>
      </c>
    </row>
    <row r="80" spans="2:15">
      <c r="B80" s="2" t="s">
        <v>25</v>
      </c>
      <c r="C80" s="31">
        <v>230.00208000000003</v>
      </c>
      <c r="D80" s="31">
        <v>274.99584000000004</v>
      </c>
      <c r="E80" s="31">
        <v>410.00064000000003</v>
      </c>
      <c r="F80" s="31">
        <v>410.00064000000003</v>
      </c>
      <c r="G80" s="31">
        <v>410.00064000000003</v>
      </c>
    </row>
    <row r="82" spans="2:7">
      <c r="B82" s="2" t="s">
        <v>36</v>
      </c>
      <c r="C82" s="15">
        <f t="shared" ref="C82:G86" si="89">+C68+C$80</f>
        <v>374.24654919149771</v>
      </c>
      <c r="D82" s="15">
        <f t="shared" si="89"/>
        <v>513.93289979209408</v>
      </c>
      <c r="E82" s="15">
        <f t="shared" si="89"/>
        <v>674.33809450657827</v>
      </c>
      <c r="F82" s="15">
        <f t="shared" si="89"/>
        <v>728.79331238139321</v>
      </c>
      <c r="G82" s="15">
        <f t="shared" si="89"/>
        <v>810.90846476460433</v>
      </c>
    </row>
    <row r="83" spans="2:7">
      <c r="B83" s="2" t="s">
        <v>37</v>
      </c>
      <c r="C83" s="15">
        <f t="shared" si="89"/>
        <v>418.6294627888816</v>
      </c>
      <c r="D83" s="15">
        <f t="shared" si="89"/>
        <v>587.45199511273836</v>
      </c>
      <c r="E83" s="15">
        <f t="shared" si="89"/>
        <v>755.67269589321768</v>
      </c>
      <c r="F83" s="15">
        <f t="shared" si="89"/>
        <v>826.88336542182174</v>
      </c>
      <c r="G83" s="15">
        <f t="shared" si="89"/>
        <v>934.26471853832845</v>
      </c>
    </row>
    <row r="84" spans="2:7">
      <c r="B84" s="2" t="s">
        <v>38</v>
      </c>
      <c r="C84" s="15">
        <f t="shared" si="89"/>
        <v>451.9166479869196</v>
      </c>
      <c r="D84" s="15">
        <f t="shared" si="89"/>
        <v>642.59131660322157</v>
      </c>
      <c r="E84" s="15">
        <f t="shared" si="89"/>
        <v>816.67364693319746</v>
      </c>
      <c r="F84" s="15">
        <f t="shared" si="89"/>
        <v>900.45090520214342</v>
      </c>
      <c r="G84" s="15">
        <f t="shared" si="89"/>
        <v>1026.7819088686219</v>
      </c>
    </row>
    <row r="85" spans="2:7">
      <c r="B85" s="2" t="s">
        <v>39</v>
      </c>
      <c r="C85" s="15">
        <f t="shared" si="89"/>
        <v>463.01237638626549</v>
      </c>
      <c r="D85" s="15">
        <f t="shared" si="89"/>
        <v>660.97109043338264</v>
      </c>
      <c r="E85" s="15">
        <f t="shared" si="89"/>
        <v>837.0072972798572</v>
      </c>
      <c r="F85" s="15">
        <f t="shared" si="89"/>
        <v>924.97341846225049</v>
      </c>
      <c r="G85" s="15">
        <f t="shared" si="89"/>
        <v>1057.620972312053</v>
      </c>
    </row>
    <row r="86" spans="2:7">
      <c r="B86" s="2" t="s">
        <v>40</v>
      </c>
      <c r="C86" s="15">
        <f t="shared" si="89"/>
        <v>474.10810478561154</v>
      </c>
      <c r="D86" s="15">
        <f t="shared" si="89"/>
        <v>679.35086426354383</v>
      </c>
      <c r="E86" s="15">
        <f t="shared" si="89"/>
        <v>857.34094762651716</v>
      </c>
      <c r="F86" s="15">
        <f t="shared" si="89"/>
        <v>949.49593172235768</v>
      </c>
      <c r="G86" s="15">
        <f t="shared" si="89"/>
        <v>1088.4600357554841</v>
      </c>
    </row>
    <row r="87" spans="2:7">
      <c r="B87" s="2" t="s">
        <v>41</v>
      </c>
      <c r="C87" s="15">
        <f>+C73</f>
        <v>255.2017531849574</v>
      </c>
      <c r="D87" s="15">
        <f t="shared" ref="D87:G87" si="90">+D73</f>
        <v>422.73479809370468</v>
      </c>
      <c r="E87" s="15">
        <f t="shared" si="90"/>
        <v>467.67395797317698</v>
      </c>
      <c r="F87" s="15">
        <f t="shared" si="90"/>
        <v>564.01780498246478</v>
      </c>
      <c r="G87" s="15">
        <f t="shared" si="90"/>
        <v>709.298459198915</v>
      </c>
    </row>
    <row r="88" spans="2:7">
      <c r="B88" s="2" t="s">
        <v>42</v>
      </c>
      <c r="C88" s="15">
        <f t="shared" ref="C88:G88" si="91">+C74</f>
        <v>266.29748158430345</v>
      </c>
      <c r="D88" s="15">
        <f t="shared" si="91"/>
        <v>441.11457192386587</v>
      </c>
      <c r="E88" s="15">
        <f t="shared" si="91"/>
        <v>488.00760831983689</v>
      </c>
      <c r="F88" s="15">
        <f t="shared" si="91"/>
        <v>588.54031824257197</v>
      </c>
      <c r="G88" s="15">
        <f t="shared" si="91"/>
        <v>740.13752264234631</v>
      </c>
    </row>
    <row r="89" spans="2:7">
      <c r="B89" s="2" t="s">
        <v>43</v>
      </c>
      <c r="C89" s="15">
        <f t="shared" ref="C89:G89" si="92">+C75</f>
        <v>310.68039518168729</v>
      </c>
      <c r="D89" s="15">
        <f t="shared" si="92"/>
        <v>514.63366724451009</v>
      </c>
      <c r="E89" s="15">
        <f t="shared" si="92"/>
        <v>569.3422097064763</v>
      </c>
      <c r="F89" s="15">
        <f t="shared" si="92"/>
        <v>686.63037128300073</v>
      </c>
      <c r="G89" s="15">
        <f t="shared" si="92"/>
        <v>863.49377641607055</v>
      </c>
    </row>
    <row r="90" spans="2:7">
      <c r="B90" s="2" t="s">
        <v>44</v>
      </c>
      <c r="C90" s="15">
        <f t="shared" ref="C90:G90" si="93">+C76</f>
        <v>443.82913597383913</v>
      </c>
      <c r="D90" s="15">
        <f t="shared" si="93"/>
        <v>735.19095320644306</v>
      </c>
      <c r="E90" s="15">
        <f t="shared" si="93"/>
        <v>813.34601386639486</v>
      </c>
      <c r="F90" s="15">
        <f t="shared" si="93"/>
        <v>980.90053040428677</v>
      </c>
      <c r="G90" s="15">
        <f t="shared" si="93"/>
        <v>1233.5625377372439</v>
      </c>
    </row>
    <row r="91" spans="2:7">
      <c r="B91" s="2" t="s">
        <v>45</v>
      </c>
      <c r="C91" s="15">
        <f t="shared" ref="C91:G91" si="94">+C77</f>
        <v>776.70098795421848</v>
      </c>
      <c r="D91" s="15">
        <f t="shared" si="94"/>
        <v>1286.5841681112754</v>
      </c>
      <c r="E91" s="15">
        <f t="shared" si="94"/>
        <v>1423.3555242661907</v>
      </c>
      <c r="F91" s="15">
        <f t="shared" si="94"/>
        <v>1716.5759282075016</v>
      </c>
      <c r="G91" s="15">
        <f t="shared" si="94"/>
        <v>2158.734441040177</v>
      </c>
    </row>
    <row r="92" spans="2:7">
      <c r="B92" s="2" t="s">
        <v>46</v>
      </c>
      <c r="C92" s="15">
        <f t="shared" ref="C92:G92" si="95">+C78</f>
        <v>998.61555594113804</v>
      </c>
      <c r="D92" s="15">
        <f t="shared" si="95"/>
        <v>1654.179644714497</v>
      </c>
      <c r="E92" s="15">
        <f t="shared" si="95"/>
        <v>1830.0285311993882</v>
      </c>
      <c r="F92" s="15">
        <f t="shared" si="95"/>
        <v>2207.0261934096452</v>
      </c>
      <c r="G92" s="15">
        <f t="shared" si="95"/>
        <v>2775.5157099087987</v>
      </c>
    </row>
    <row r="93" spans="2:7">
      <c r="B93" s="2" t="s">
        <v>47</v>
      </c>
      <c r="C93" s="15">
        <f t="shared" ref="C93:G93" si="96">+C79</f>
        <v>1775.3165438953565</v>
      </c>
      <c r="D93" s="15">
        <f t="shared" si="96"/>
        <v>2940.7638128257722</v>
      </c>
      <c r="E93" s="15">
        <f t="shared" si="96"/>
        <v>3253.3840554655794</v>
      </c>
      <c r="F93" s="15">
        <f t="shared" si="96"/>
        <v>3923.6021216171471</v>
      </c>
      <c r="G93" s="15">
        <f t="shared" si="96"/>
        <v>4934.2501509489757</v>
      </c>
    </row>
    <row r="94" spans="2:7">
      <c r="C94" s="15"/>
      <c r="D94" s="15"/>
      <c r="E94" s="15"/>
      <c r="F94" s="15"/>
      <c r="G94" s="15"/>
    </row>
    <row r="95" spans="2:7">
      <c r="C95" s="15"/>
      <c r="D95" s="15"/>
      <c r="E95" s="15"/>
      <c r="F95" s="15"/>
      <c r="G95" s="15"/>
    </row>
    <row r="96" spans="2:7">
      <c r="B96" s="9" t="s">
        <v>7</v>
      </c>
      <c r="C96" s="15">
        <f t="shared" ref="C96:G107" si="97">+C50-C82</f>
        <v>618.12642449475254</v>
      </c>
      <c r="D96" s="15">
        <f t="shared" si="97"/>
        <v>446.80485333481442</v>
      </c>
      <c r="E96" s="15">
        <f t="shared" si="97"/>
        <v>235.24004620750145</v>
      </c>
      <c r="F96" s="15">
        <f t="shared" si="97"/>
        <v>63.31852561163339</v>
      </c>
      <c r="G96" s="15">
        <f t="shared" si="97"/>
        <v>-134.96774276820031</v>
      </c>
    </row>
    <row r="97" spans="2:7">
      <c r="B97" s="9" t="s">
        <v>9</v>
      </c>
      <c r="C97" s="15">
        <f t="shared" si="97"/>
        <v>725.2441181854457</v>
      </c>
      <c r="D97" s="15">
        <f t="shared" si="97"/>
        <v>515.05245128398838</v>
      </c>
      <c r="E97" s="15">
        <f t="shared" si="97"/>
        <v>279.93071888673262</v>
      </c>
      <c r="F97" s="15">
        <f t="shared" si="97"/>
        <v>55.11026887675132</v>
      </c>
      <c r="G97" s="15">
        <f t="shared" si="97"/>
        <v>-204.18715900456948</v>
      </c>
    </row>
    <row r="98" spans="2:7">
      <c r="B98" s="9" t="s">
        <v>10</v>
      </c>
      <c r="C98" s="15">
        <f t="shared" si="97"/>
        <v>805.58238845346546</v>
      </c>
      <c r="D98" s="15">
        <f t="shared" si="97"/>
        <v>566.23814974586855</v>
      </c>
      <c r="E98" s="15">
        <f t="shared" si="97"/>
        <v>313.44872339615586</v>
      </c>
      <c r="F98" s="15">
        <f t="shared" si="97"/>
        <v>48.954076325589654</v>
      </c>
      <c r="G98" s="15">
        <f t="shared" si="97"/>
        <v>-256.10172118184664</v>
      </c>
    </row>
    <row r="99" spans="2:7">
      <c r="B99" s="9" t="s">
        <v>11</v>
      </c>
      <c r="C99" s="15">
        <f t="shared" si="97"/>
        <v>832.36181187613874</v>
      </c>
      <c r="D99" s="15">
        <f t="shared" si="97"/>
        <v>583.30004923316187</v>
      </c>
      <c r="E99" s="15">
        <f t="shared" si="97"/>
        <v>324.62139156596356</v>
      </c>
      <c r="F99" s="15">
        <f t="shared" si="97"/>
        <v>46.90201214186925</v>
      </c>
      <c r="G99" s="15">
        <f t="shared" si="97"/>
        <v>-273.40657524093899</v>
      </c>
    </row>
    <row r="100" spans="2:7">
      <c r="B100" s="9" t="s">
        <v>12</v>
      </c>
      <c r="C100" s="15">
        <f t="shared" si="97"/>
        <v>859.14123529881192</v>
      </c>
      <c r="D100" s="15">
        <f t="shared" si="97"/>
        <v>600.3619487204553</v>
      </c>
      <c r="E100" s="15">
        <f t="shared" si="97"/>
        <v>335.7940597357715</v>
      </c>
      <c r="F100" s="15">
        <f t="shared" si="97"/>
        <v>44.849947958148846</v>
      </c>
      <c r="G100" s="15">
        <f t="shared" si="97"/>
        <v>-290.71142930003134</v>
      </c>
    </row>
    <row r="101" spans="2:7">
      <c r="B101" s="9" t="s">
        <v>13</v>
      </c>
      <c r="C101" s="15">
        <f t="shared" si="97"/>
        <v>615.92673872148509</v>
      </c>
      <c r="D101" s="15">
        <f t="shared" si="97"/>
        <v>392.42368820774885</v>
      </c>
      <c r="E101" s="15">
        <f t="shared" si="97"/>
        <v>256.97136790557903</v>
      </c>
      <c r="F101" s="15">
        <f t="shared" si="97"/>
        <v>-47.197476225571904</v>
      </c>
      <c r="G101" s="15">
        <f t="shared" si="97"/>
        <v>-398.01164335912358</v>
      </c>
    </row>
    <row r="102" spans="2:7">
      <c r="B102" s="9" t="s">
        <v>14</v>
      </c>
      <c r="C102" s="15">
        <f t="shared" si="97"/>
        <v>642.70616214415827</v>
      </c>
      <c r="D102" s="15">
        <f t="shared" si="97"/>
        <v>409.48558769504206</v>
      </c>
      <c r="E102" s="15">
        <f t="shared" si="97"/>
        <v>268.14403607538679</v>
      </c>
      <c r="F102" s="15">
        <f t="shared" si="97"/>
        <v>-49.249540409292422</v>
      </c>
      <c r="G102" s="15">
        <f t="shared" si="97"/>
        <v>-415.31649741821622</v>
      </c>
    </row>
    <row r="103" spans="2:7">
      <c r="B103" s="9" t="s">
        <v>15</v>
      </c>
      <c r="C103" s="15">
        <f t="shared" si="97"/>
        <v>749.82385583485143</v>
      </c>
      <c r="D103" s="15">
        <f t="shared" si="97"/>
        <v>477.73318564421584</v>
      </c>
      <c r="E103" s="15">
        <f t="shared" si="97"/>
        <v>312.83470875461796</v>
      </c>
      <c r="F103" s="15">
        <f t="shared" si="97"/>
        <v>-57.457797144174492</v>
      </c>
      <c r="G103" s="15">
        <f t="shared" si="97"/>
        <v>-484.53591365458539</v>
      </c>
    </row>
    <row r="104" spans="2:7">
      <c r="B104" s="9" t="s">
        <v>16</v>
      </c>
      <c r="C104" s="15">
        <f t="shared" si="97"/>
        <v>1071.1769369069305</v>
      </c>
      <c r="D104" s="15">
        <f t="shared" si="97"/>
        <v>682.47597949173701</v>
      </c>
      <c r="E104" s="15">
        <f t="shared" si="97"/>
        <v>446.90672679231136</v>
      </c>
      <c r="F104" s="15">
        <f t="shared" si="97"/>
        <v>-82.082567348820703</v>
      </c>
      <c r="G104" s="15">
        <f t="shared" si="97"/>
        <v>-692.19416236369352</v>
      </c>
    </row>
    <row r="105" spans="2:7">
      <c r="B105" s="9" t="s">
        <v>17</v>
      </c>
      <c r="C105" s="15">
        <f t="shared" si="97"/>
        <v>1874.5596395871289</v>
      </c>
      <c r="D105" s="15">
        <f t="shared" si="97"/>
        <v>1194.3329641105395</v>
      </c>
      <c r="E105" s="15">
        <f t="shared" si="97"/>
        <v>782.08677188654497</v>
      </c>
      <c r="F105" s="15">
        <f t="shared" si="97"/>
        <v>-143.64449286043623</v>
      </c>
      <c r="G105" s="15">
        <f t="shared" si="97"/>
        <v>-1211.339784136464</v>
      </c>
    </row>
    <row r="106" spans="2:7">
      <c r="B106" s="9" t="s">
        <v>18</v>
      </c>
      <c r="C106" s="15">
        <f t="shared" si="97"/>
        <v>2410.1481080405943</v>
      </c>
      <c r="D106" s="15">
        <f t="shared" si="97"/>
        <v>1535.5709538564079</v>
      </c>
      <c r="E106" s="15">
        <f t="shared" si="97"/>
        <v>1005.5401352827009</v>
      </c>
      <c r="F106" s="15">
        <f t="shared" si="97"/>
        <v>-184.68577653484658</v>
      </c>
      <c r="G106" s="15">
        <f t="shared" si="97"/>
        <v>-1557.4368653183105</v>
      </c>
    </row>
    <row r="107" spans="2:7">
      <c r="B107" s="9" t="s">
        <v>19</v>
      </c>
      <c r="C107" s="15">
        <f t="shared" si="97"/>
        <v>4284.7077476277218</v>
      </c>
      <c r="D107" s="15">
        <f t="shared" si="97"/>
        <v>2729.903917966948</v>
      </c>
      <c r="E107" s="15">
        <f t="shared" si="97"/>
        <v>1787.6269071692454</v>
      </c>
      <c r="F107" s="15">
        <f t="shared" si="97"/>
        <v>-328.33026939528281</v>
      </c>
      <c r="G107" s="15">
        <f t="shared" si="97"/>
        <v>-2768.7766494547741</v>
      </c>
    </row>
    <row r="108" spans="2:7">
      <c r="B108" s="9"/>
    </row>
    <row r="110" spans="2:7">
      <c r="C110" s="2" t="s">
        <v>48</v>
      </c>
    </row>
  </sheetData>
  <sheetProtection algorithmName="SHA-512" hashValue="XXIuNKxVIiguAQp4kz5CMaD+2zBGxZ1KYrgsPXeTSEDhdgvwx+E8h6zBi3NJmBnytsQSokm3FgwqvDfZCPZSTQ==" saltValue="GAkK+hWec/Zt7SMKP0uNNw==" spinCount="100000" sheet="1" objects="1" scenarios="1"/>
  <mergeCells count="4">
    <mergeCell ref="B1:N1"/>
    <mergeCell ref="B28:C28"/>
    <mergeCell ref="A2:G2"/>
    <mergeCell ref="H2:N2"/>
  </mergeCells>
  <dataValidations disablePrompts="1" count="1">
    <dataValidation type="list" allowBlank="1" showInputMessage="1" showErrorMessage="1" sqref="AE28:AF29" xr:uid="{00000000-0002-0000-0300-000000000000}">
      <formula1>$AE$28:$AE$29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G88"/>
  <sheetViews>
    <sheetView showGridLines="0" topLeftCell="A70" workbookViewId="0">
      <selection activeCell="J8" sqref="J8"/>
    </sheetView>
  </sheetViews>
  <sheetFormatPr baseColWidth="10" defaultRowHeight="14.5"/>
  <cols>
    <col min="6" max="6" width="10.81640625" style="49"/>
    <col min="7" max="7" width="11.81640625" bestFit="1" customWidth="1"/>
  </cols>
  <sheetData>
    <row r="2" spans="3:7">
      <c r="C2" s="274" t="s">
        <v>338</v>
      </c>
      <c r="D2" s="274"/>
      <c r="F2" s="275" t="s">
        <v>30</v>
      </c>
      <c r="G2" s="275"/>
    </row>
    <row r="3" spans="3:7">
      <c r="C3" s="93">
        <v>1910000</v>
      </c>
      <c r="D3" s="92">
        <v>3091.8491283281014</v>
      </c>
      <c r="F3" s="93">
        <v>1910000</v>
      </c>
      <c r="G3" s="29">
        <v>1910.581117770826</v>
      </c>
    </row>
    <row r="4" spans="3:7">
      <c r="C4" s="93" t="s">
        <v>248</v>
      </c>
      <c r="D4" s="92">
        <v>5024.2548335331639</v>
      </c>
      <c r="F4" s="93" t="s">
        <v>248</v>
      </c>
      <c r="G4" s="29">
        <v>3104.6943163775932</v>
      </c>
    </row>
    <row r="5" spans="3:7">
      <c r="C5" s="93" t="s">
        <v>249</v>
      </c>
      <c r="D5" s="92">
        <v>6570.179397697214</v>
      </c>
      <c r="F5" s="93" t="s">
        <v>249</v>
      </c>
      <c r="G5" s="29">
        <v>4059.9848752630055</v>
      </c>
    </row>
    <row r="6" spans="3:7">
      <c r="C6" s="93" t="s">
        <v>250</v>
      </c>
      <c r="D6" s="92">
        <v>7729.6228208202519</v>
      </c>
      <c r="F6" s="93" t="s">
        <v>250</v>
      </c>
      <c r="G6" s="29">
        <v>4776.4527944270649</v>
      </c>
    </row>
    <row r="7" spans="3:7">
      <c r="C7" s="93" t="s">
        <v>251</v>
      </c>
      <c r="D7" s="92">
        <v>8116.1039618612649</v>
      </c>
      <c r="F7" s="93" t="s">
        <v>251</v>
      </c>
      <c r="G7" s="29">
        <v>5015.2754341484178</v>
      </c>
    </row>
    <row r="8" spans="3:7">
      <c r="C8" s="93" t="s">
        <v>252</v>
      </c>
      <c r="D8" s="92">
        <v>8502.5851029022779</v>
      </c>
      <c r="F8" s="93" t="s">
        <v>252</v>
      </c>
      <c r="G8" s="29">
        <v>5254.0980738697717</v>
      </c>
    </row>
    <row r="9" spans="3:7">
      <c r="C9" s="93" t="s">
        <v>253</v>
      </c>
      <c r="D9" s="92">
        <v>8889.0662439432908</v>
      </c>
      <c r="F9" s="93" t="s">
        <v>253</v>
      </c>
      <c r="G9" s="29">
        <v>5492.9207135911247</v>
      </c>
    </row>
    <row r="10" spans="3:7">
      <c r="C10" s="93" t="s">
        <v>254</v>
      </c>
      <c r="D10" s="92">
        <v>9275.547384984302</v>
      </c>
      <c r="F10" s="93" t="s">
        <v>254</v>
      </c>
      <c r="G10" s="29">
        <v>5731.7433533124786</v>
      </c>
    </row>
    <row r="11" spans="3:7">
      <c r="C11" s="93" t="s">
        <v>255</v>
      </c>
      <c r="D11" s="92">
        <v>10821.471949148356</v>
      </c>
      <c r="F11" s="93" t="s">
        <v>255</v>
      </c>
      <c r="G11" s="29">
        <v>6687.0339121978905</v>
      </c>
    </row>
    <row r="12" spans="3:7">
      <c r="C12" s="93" t="s">
        <v>256</v>
      </c>
      <c r="D12" s="92">
        <v>15459.245641640504</v>
      </c>
      <c r="F12" s="93" t="s">
        <v>256</v>
      </c>
      <c r="G12" s="29">
        <v>9552.9055888541297</v>
      </c>
    </row>
    <row r="13" spans="3:7">
      <c r="C13" s="93" t="s">
        <v>257</v>
      </c>
      <c r="D13" s="92">
        <v>27053.679872870889</v>
      </c>
      <c r="F13" s="93" t="s">
        <v>257</v>
      </c>
      <c r="G13" s="29">
        <v>16717.584780494723</v>
      </c>
    </row>
    <row r="14" spans="3:7">
      <c r="C14" s="93" t="s">
        <v>258</v>
      </c>
      <c r="D14" s="92">
        <v>34783.302693691141</v>
      </c>
      <c r="F14" s="93" t="s">
        <v>258</v>
      </c>
      <c r="G14" s="29">
        <v>21494.037574921796</v>
      </c>
    </row>
    <row r="15" spans="3:7">
      <c r="C15" s="93" t="s">
        <v>259</v>
      </c>
      <c r="D15" s="92">
        <v>61836.982566562016</v>
      </c>
      <c r="F15" s="93" t="s">
        <v>259</v>
      </c>
      <c r="G15" s="29">
        <v>38211.622355416519</v>
      </c>
    </row>
    <row r="16" spans="3:7">
      <c r="C16" s="93" t="s">
        <v>260</v>
      </c>
      <c r="D16" s="92">
        <v>77296.228208202534</v>
      </c>
      <c r="F16" s="93" t="s">
        <v>260</v>
      </c>
      <c r="G16" s="29">
        <v>47764.527944270652</v>
      </c>
    </row>
    <row r="17" spans="3:7">
      <c r="C17" s="93">
        <v>1915000</v>
      </c>
      <c r="D17" s="92">
        <v>2893.1978218330196</v>
      </c>
      <c r="F17" s="93">
        <v>1915000</v>
      </c>
      <c r="G17" s="92">
        <v>1787.8262809540506</v>
      </c>
    </row>
    <row r="18" spans="3:7">
      <c r="C18" s="93" t="s">
        <v>262</v>
      </c>
      <c r="D18" s="92">
        <v>4701.4464604786563</v>
      </c>
      <c r="F18" s="93" t="s">
        <v>262</v>
      </c>
      <c r="G18" s="92">
        <v>2905.2177065503329</v>
      </c>
    </row>
    <row r="19" spans="3:7">
      <c r="C19" s="93" t="s">
        <v>263</v>
      </c>
      <c r="D19" s="92">
        <v>6148.0453713951674</v>
      </c>
      <c r="F19" s="93" t="s">
        <v>263</v>
      </c>
      <c r="G19" s="92">
        <v>3799.130847027358</v>
      </c>
    </row>
    <row r="20" spans="3:7">
      <c r="C20" s="93" t="s">
        <v>264</v>
      </c>
      <c r="D20" s="92">
        <v>7232.9945545825503</v>
      </c>
      <c r="F20" s="93" t="s">
        <v>264</v>
      </c>
      <c r="G20" s="92">
        <v>4469.5657023851272</v>
      </c>
    </row>
    <row r="21" spans="3:7">
      <c r="C21" s="93" t="s">
        <v>265</v>
      </c>
      <c r="D21" s="92">
        <v>7594.6442823116768</v>
      </c>
      <c r="F21" s="93" t="s">
        <v>265</v>
      </c>
      <c r="G21" s="92">
        <v>4693.043987504383</v>
      </c>
    </row>
    <row r="22" spans="3:7">
      <c r="C22" s="93" t="s">
        <v>266</v>
      </c>
      <c r="D22" s="92">
        <v>7956.2940100408059</v>
      </c>
      <c r="F22" s="93" t="s">
        <v>266</v>
      </c>
      <c r="G22" s="92">
        <v>4916.5222726236398</v>
      </c>
    </row>
    <row r="23" spans="3:7">
      <c r="C23" s="93" t="s">
        <v>267</v>
      </c>
      <c r="D23" s="92">
        <v>8317.9437377699323</v>
      </c>
      <c r="F23" s="93" t="s">
        <v>267</v>
      </c>
      <c r="G23" s="92">
        <v>5140.0005577428956</v>
      </c>
    </row>
    <row r="24" spans="3:7">
      <c r="C24" s="93" t="s">
        <v>268</v>
      </c>
      <c r="D24" s="92">
        <v>8679.5934654990579</v>
      </c>
      <c r="F24" s="93" t="s">
        <v>268</v>
      </c>
      <c r="G24" s="92">
        <v>5363.4788428621514</v>
      </c>
    </row>
    <row r="25" spans="3:7">
      <c r="C25" s="93" t="s">
        <v>269</v>
      </c>
      <c r="D25" s="92">
        <v>10126.192376415569</v>
      </c>
      <c r="F25" s="93" t="s">
        <v>269</v>
      </c>
      <c r="G25" s="92">
        <v>6257.3919833391774</v>
      </c>
    </row>
    <row r="26" spans="3:7">
      <c r="C26" s="93" t="s">
        <v>270</v>
      </c>
      <c r="D26" s="92">
        <v>14465.989109165101</v>
      </c>
      <c r="F26" s="93" t="s">
        <v>270</v>
      </c>
      <c r="G26" s="92">
        <v>8939.1314047702544</v>
      </c>
    </row>
    <row r="27" spans="3:7">
      <c r="C27" s="93" t="s">
        <v>271</v>
      </c>
      <c r="D27" s="92">
        <v>25315.480941038921</v>
      </c>
      <c r="F27" s="93" t="s">
        <v>271</v>
      </c>
      <c r="G27" s="92">
        <v>15643.47995834794</v>
      </c>
    </row>
    <row r="28" spans="3:7">
      <c r="C28" s="93" t="s">
        <v>272</v>
      </c>
      <c r="D28" s="92">
        <v>32548.475495621478</v>
      </c>
      <c r="F28" s="93" t="s">
        <v>272</v>
      </c>
      <c r="G28" s="92">
        <v>20113.045660733071</v>
      </c>
    </row>
    <row r="29" spans="3:7">
      <c r="C29" s="93" t="s">
        <v>273</v>
      </c>
      <c r="D29" s="92">
        <v>57863.956436660403</v>
      </c>
      <c r="F29" s="93" t="s">
        <v>273</v>
      </c>
      <c r="G29" s="92">
        <v>35756.525619081018</v>
      </c>
    </row>
    <row r="30" spans="3:7">
      <c r="C30" s="93" t="s">
        <v>274</v>
      </c>
      <c r="D30" s="92">
        <v>72329.945545825496</v>
      </c>
      <c r="F30" s="93" t="s">
        <v>274</v>
      </c>
      <c r="G30" s="92">
        <v>44695.657023851272</v>
      </c>
    </row>
    <row r="31" spans="3:7">
      <c r="C31" s="93">
        <v>1920000</v>
      </c>
      <c r="D31" s="92">
        <v>2571.9443686912373</v>
      </c>
      <c r="F31" s="93">
        <v>1920000</v>
      </c>
      <c r="G31" s="92">
        <v>1589.3105202826155</v>
      </c>
    </row>
    <row r="32" spans="3:7">
      <c r="C32" s="93" t="s">
        <v>276</v>
      </c>
      <c r="D32" s="92">
        <v>4179.4095991232598</v>
      </c>
      <c r="F32" s="93" t="s">
        <v>276</v>
      </c>
      <c r="G32" s="92">
        <v>2582.6295954592506</v>
      </c>
    </row>
    <row r="33" spans="3:7">
      <c r="C33" s="93" t="s">
        <v>277</v>
      </c>
      <c r="D33" s="92">
        <v>5465.3817834688789</v>
      </c>
      <c r="F33" s="93" t="s">
        <v>277</v>
      </c>
      <c r="G33" s="92">
        <v>3377.2848556005583</v>
      </c>
    </row>
    <row r="34" spans="3:7">
      <c r="C34" s="93" t="s">
        <v>278</v>
      </c>
      <c r="D34" s="92">
        <v>6429.8609217280928</v>
      </c>
      <c r="F34" s="93" t="s">
        <v>278</v>
      </c>
      <c r="G34" s="92">
        <v>3973.2763007065373</v>
      </c>
    </row>
    <row r="35" spans="3:7">
      <c r="C35" s="93" t="s">
        <v>279</v>
      </c>
      <c r="D35" s="92">
        <v>6751.3539678144962</v>
      </c>
      <c r="F35" s="93" t="s">
        <v>279</v>
      </c>
      <c r="G35" s="92">
        <v>4171.9401157418652</v>
      </c>
    </row>
    <row r="36" spans="3:7">
      <c r="C36" s="93" t="s">
        <v>280</v>
      </c>
      <c r="D36" s="92">
        <v>7072.8470139009023</v>
      </c>
      <c r="F36" s="93" t="s">
        <v>280</v>
      </c>
      <c r="G36" s="92">
        <v>4370.6039307771925</v>
      </c>
    </row>
    <row r="37" spans="3:7">
      <c r="C37" s="93" t="s">
        <v>281</v>
      </c>
      <c r="D37" s="92">
        <v>7394.3400599873057</v>
      </c>
      <c r="F37" s="93" t="s">
        <v>281</v>
      </c>
      <c r="G37" s="92">
        <v>4569.267745812519</v>
      </c>
    </row>
    <row r="38" spans="3:7">
      <c r="C38" s="93" t="s">
        <v>282</v>
      </c>
      <c r="D38" s="92">
        <v>7715.83310607371</v>
      </c>
      <c r="F38" s="93" t="s">
        <v>282</v>
      </c>
      <c r="G38" s="92">
        <v>4767.9315608478455</v>
      </c>
    </row>
    <row r="39" spans="3:7">
      <c r="C39" s="93" t="s">
        <v>283</v>
      </c>
      <c r="D39" s="92">
        <v>9001.8052904193282</v>
      </c>
      <c r="F39" s="93" t="s">
        <v>283</v>
      </c>
      <c r="G39" s="92">
        <v>5562.5868209891541</v>
      </c>
    </row>
    <row r="40" spans="3:7">
      <c r="C40" s="93" t="s">
        <v>284</v>
      </c>
      <c r="D40" s="92">
        <v>12859.721843456186</v>
      </c>
      <c r="F40" s="93" t="s">
        <v>284</v>
      </c>
      <c r="G40" s="92">
        <v>7946.5526014130746</v>
      </c>
    </row>
    <row r="41" spans="3:7">
      <c r="C41" s="93" t="s">
        <v>285</v>
      </c>
      <c r="D41" s="92">
        <v>22504.513226048322</v>
      </c>
      <c r="F41" s="93" t="s">
        <v>285</v>
      </c>
      <c r="G41" s="92">
        <v>13906.467052472884</v>
      </c>
    </row>
    <row r="42" spans="3:7">
      <c r="C42" s="93" t="s">
        <v>286</v>
      </c>
      <c r="D42" s="92">
        <v>28934.374147776412</v>
      </c>
      <c r="F42" s="93" t="s">
        <v>286</v>
      </c>
      <c r="G42" s="92">
        <v>17879.743353179423</v>
      </c>
    </row>
    <row r="43" spans="3:7">
      <c r="C43" s="93" t="s">
        <v>287</v>
      </c>
      <c r="D43" s="92">
        <v>51438.887373824742</v>
      </c>
      <c r="F43" s="93" t="s">
        <v>287</v>
      </c>
      <c r="G43" s="92">
        <v>31786.210405652299</v>
      </c>
    </row>
    <row r="44" spans="3:7">
      <c r="C44" s="93" t="s">
        <v>288</v>
      </c>
      <c r="D44" s="92">
        <v>64298.609217280922</v>
      </c>
      <c r="F44" s="93" t="s">
        <v>288</v>
      </c>
      <c r="G44" s="92">
        <v>39732.763007065376</v>
      </c>
    </row>
    <row r="45" spans="3:7">
      <c r="C45" s="96">
        <v>1930000</v>
      </c>
      <c r="D45">
        <v>1834.3223735825834</v>
      </c>
      <c r="F45" s="96">
        <v>1930000</v>
      </c>
      <c r="G45">
        <v>1133.5034619773153</v>
      </c>
    </row>
    <row r="46" spans="3:7">
      <c r="C46" t="s">
        <v>290</v>
      </c>
      <c r="D46">
        <v>2980.7738570716983</v>
      </c>
      <c r="F46" t="s">
        <v>290</v>
      </c>
      <c r="G46">
        <v>1841.9431257131378</v>
      </c>
    </row>
    <row r="47" spans="3:7">
      <c r="C47" t="s">
        <v>291</v>
      </c>
      <c r="D47">
        <v>3897.9350438629895</v>
      </c>
      <c r="F47" t="s">
        <v>291</v>
      </c>
      <c r="G47">
        <v>2408.6948567017953</v>
      </c>
    </row>
    <row r="48" spans="3:7">
      <c r="C48" t="s">
        <v>292</v>
      </c>
      <c r="D48">
        <v>4585.8059339564597</v>
      </c>
      <c r="F48" t="s">
        <v>292</v>
      </c>
      <c r="G48">
        <v>2833.758654943289</v>
      </c>
    </row>
    <row r="49" spans="3:7">
      <c r="C49" t="s">
        <v>293</v>
      </c>
      <c r="D49">
        <v>4815.0962306542824</v>
      </c>
      <c r="F49" t="s">
        <v>293</v>
      </c>
      <c r="G49">
        <v>2975.4465876904528</v>
      </c>
    </row>
    <row r="50" spans="3:7">
      <c r="C50" t="s">
        <v>294</v>
      </c>
      <c r="D50">
        <v>5044.3865273521051</v>
      </c>
      <c r="F50" t="s">
        <v>294</v>
      </c>
      <c r="G50">
        <v>3117.1345204376175</v>
      </c>
    </row>
    <row r="51" spans="3:7">
      <c r="C51" t="s">
        <v>295</v>
      </c>
      <c r="D51">
        <v>5273.6768240499259</v>
      </c>
      <c r="F51" t="s">
        <v>295</v>
      </c>
      <c r="G51">
        <v>3258.8224531847814</v>
      </c>
    </row>
    <row r="52" spans="3:7">
      <c r="C52" t="s">
        <v>296</v>
      </c>
      <c r="D52">
        <v>5502.9671207477495</v>
      </c>
      <c r="F52" t="s">
        <v>296</v>
      </c>
      <c r="G52">
        <v>3400.5103859319456</v>
      </c>
    </row>
    <row r="53" spans="3:7">
      <c r="C53" t="s">
        <v>297</v>
      </c>
      <c r="D53">
        <v>6420.128307539042</v>
      </c>
      <c r="F53" t="s">
        <v>297</v>
      </c>
      <c r="G53">
        <v>3967.2621169206036</v>
      </c>
    </row>
    <row r="54" spans="3:7">
      <c r="C54" t="s">
        <v>298</v>
      </c>
      <c r="D54">
        <v>9171.6118679129195</v>
      </c>
      <c r="F54" t="s">
        <v>298</v>
      </c>
      <c r="G54">
        <v>5667.517309886578</v>
      </c>
    </row>
    <row r="55" spans="3:7">
      <c r="C55" t="s">
        <v>299</v>
      </c>
      <c r="D55">
        <v>16050.320768847605</v>
      </c>
      <c r="F55" t="s">
        <v>299</v>
      </c>
      <c r="G55">
        <v>9918.1552923015097</v>
      </c>
    </row>
    <row r="56" spans="3:7">
      <c r="C56" t="s">
        <v>300</v>
      </c>
      <c r="D56">
        <v>20636.126702804064</v>
      </c>
      <c r="F56" t="s">
        <v>300</v>
      </c>
      <c r="G56">
        <v>12751.913947244799</v>
      </c>
    </row>
    <row r="57" spans="3:7">
      <c r="C57" t="s">
        <v>301</v>
      </c>
      <c r="D57">
        <v>36686.447471651678</v>
      </c>
      <c r="F57" t="s">
        <v>301</v>
      </c>
      <c r="G57">
        <v>22670.069239546312</v>
      </c>
    </row>
    <row r="58" spans="3:7">
      <c r="C58" t="s">
        <v>302</v>
      </c>
      <c r="D58">
        <v>45858.059339564592</v>
      </c>
      <c r="F58" t="s">
        <v>302</v>
      </c>
      <c r="G58">
        <v>28337.586549432883</v>
      </c>
    </row>
    <row r="59" spans="3:7">
      <c r="C59" s="96">
        <v>1945000</v>
      </c>
      <c r="D59">
        <v>1104.8334191296942</v>
      </c>
      <c r="F59" s="96">
        <v>1945000</v>
      </c>
      <c r="G59">
        <v>682.72214498797928</v>
      </c>
    </row>
    <row r="60" spans="3:7">
      <c r="C60" t="s">
        <v>304</v>
      </c>
      <c r="D60">
        <v>1795.3543060857533</v>
      </c>
      <c r="F60" t="s">
        <v>304</v>
      </c>
      <c r="G60">
        <v>1109.4234856054663</v>
      </c>
    </row>
    <row r="61" spans="3:7">
      <c r="C61" t="s">
        <v>305</v>
      </c>
      <c r="D61">
        <v>2347.7710156506005</v>
      </c>
      <c r="F61" t="s">
        <v>305</v>
      </c>
      <c r="G61">
        <v>1450.7845580994563</v>
      </c>
    </row>
    <row r="62" spans="3:7">
      <c r="C62" t="s">
        <v>306</v>
      </c>
      <c r="D62">
        <v>2762.0835478242366</v>
      </c>
      <c r="F62" t="s">
        <v>306</v>
      </c>
      <c r="G62">
        <v>1706.8053624699482</v>
      </c>
    </row>
    <row r="63" spans="3:7">
      <c r="C63" t="s">
        <v>307</v>
      </c>
      <c r="D63">
        <v>2900.1877252154477</v>
      </c>
      <c r="F63" t="s">
        <v>307</v>
      </c>
      <c r="G63">
        <v>1792.1456305934455</v>
      </c>
    </row>
    <row r="64" spans="3:7">
      <c r="C64" t="s">
        <v>308</v>
      </c>
      <c r="D64">
        <v>3038.2919026066593</v>
      </c>
      <c r="F64" t="s">
        <v>308</v>
      </c>
      <c r="G64">
        <v>1877.4858987169432</v>
      </c>
    </row>
    <row r="65" spans="3:7">
      <c r="C65" t="s">
        <v>309</v>
      </c>
      <c r="D65">
        <v>3176.3960799978713</v>
      </c>
      <c r="F65" t="s">
        <v>309</v>
      </c>
      <c r="G65">
        <v>1962.82616684044</v>
      </c>
    </row>
    <row r="66" spans="3:7">
      <c r="C66" t="s">
        <v>310</v>
      </c>
      <c r="D66">
        <v>3314.500257389082</v>
      </c>
      <c r="F66" t="s">
        <v>310</v>
      </c>
      <c r="G66">
        <v>2048.1664349639382</v>
      </c>
    </row>
    <row r="67" spans="3:7">
      <c r="C67" t="s">
        <v>311</v>
      </c>
      <c r="D67">
        <v>3866.9169669539297</v>
      </c>
      <c r="F67" t="s">
        <v>311</v>
      </c>
      <c r="G67">
        <v>2389.5275074579272</v>
      </c>
    </row>
    <row r="68" spans="3:7">
      <c r="C68" t="s">
        <v>312</v>
      </c>
      <c r="D68">
        <v>5524.1670956484732</v>
      </c>
      <c r="F68" t="s">
        <v>312</v>
      </c>
      <c r="G68">
        <v>3413.6107249398965</v>
      </c>
    </row>
    <row r="69" spans="3:7">
      <c r="C69" t="s">
        <v>313</v>
      </c>
      <c r="D69">
        <v>9667.2924173848223</v>
      </c>
      <c r="F69" t="s">
        <v>313</v>
      </c>
      <c r="G69">
        <v>5973.8187686448191</v>
      </c>
    </row>
    <row r="70" spans="3:7">
      <c r="C70" t="s">
        <v>314</v>
      </c>
      <c r="D70">
        <v>12429.375965209061</v>
      </c>
      <c r="F70" t="s">
        <v>314</v>
      </c>
      <c r="G70">
        <v>7680.624131114766</v>
      </c>
    </row>
    <row r="71" spans="3:7">
      <c r="C71" t="s">
        <v>315</v>
      </c>
      <c r="D71">
        <v>22096.668382593893</v>
      </c>
      <c r="F71" t="s">
        <v>315</v>
      </c>
      <c r="G71">
        <v>13654.442899759586</v>
      </c>
    </row>
    <row r="72" spans="3:7">
      <c r="C72" t="s">
        <v>316</v>
      </c>
      <c r="D72">
        <v>27620.835478242363</v>
      </c>
      <c r="F72" t="s">
        <v>316</v>
      </c>
      <c r="G72">
        <v>17068.053624699485</v>
      </c>
    </row>
    <row r="73" spans="3:7">
      <c r="F73"/>
    </row>
    <row r="74" spans="3:7">
      <c r="C74" t="s">
        <v>317</v>
      </c>
      <c r="D74">
        <v>2044.49</v>
      </c>
      <c r="F74" t="s">
        <v>317</v>
      </c>
      <c r="G74">
        <v>2044.49</v>
      </c>
    </row>
    <row r="75" spans="3:7">
      <c r="C75" t="s">
        <v>322</v>
      </c>
      <c r="D75">
        <v>4088.9700000000003</v>
      </c>
      <c r="F75" t="s">
        <v>322</v>
      </c>
      <c r="G75">
        <v>4088.9700000000003</v>
      </c>
    </row>
    <row r="76" spans="3:7">
      <c r="C76" t="s">
        <v>327</v>
      </c>
      <c r="D76">
        <v>7200.14</v>
      </c>
      <c r="F76" t="s">
        <v>327</v>
      </c>
      <c r="G76">
        <v>7200.14</v>
      </c>
    </row>
    <row r="77" spans="3:7">
      <c r="C77" t="s">
        <v>318</v>
      </c>
      <c r="D77" s="49">
        <v>1913.13</v>
      </c>
      <c r="F77" t="s">
        <v>318</v>
      </c>
      <c r="G77" s="49">
        <v>1913.13</v>
      </c>
    </row>
    <row r="78" spans="3:7">
      <c r="C78" t="s">
        <v>323</v>
      </c>
      <c r="D78" s="49">
        <v>3826.2499999999991</v>
      </c>
      <c r="F78" t="s">
        <v>323</v>
      </c>
      <c r="G78" s="49">
        <v>3826.2499999999991</v>
      </c>
    </row>
    <row r="79" spans="3:7">
      <c r="C79" t="s">
        <v>328</v>
      </c>
      <c r="D79" s="49">
        <v>6737.53</v>
      </c>
      <c r="F79" t="s">
        <v>328</v>
      </c>
      <c r="G79" s="49">
        <v>6737.53</v>
      </c>
    </row>
    <row r="80" spans="3:7">
      <c r="C80" t="s">
        <v>319</v>
      </c>
      <c r="D80">
        <v>1700.7</v>
      </c>
      <c r="F80" t="s">
        <v>319</v>
      </c>
      <c r="G80">
        <v>1700.7</v>
      </c>
    </row>
    <row r="81" spans="3:7">
      <c r="C81" t="s">
        <v>324</v>
      </c>
      <c r="D81">
        <v>3401.4</v>
      </c>
      <c r="F81" t="s">
        <v>324</v>
      </c>
      <c r="G81">
        <v>3401.4</v>
      </c>
    </row>
    <row r="82" spans="3:7">
      <c r="C82" t="s">
        <v>329</v>
      </c>
      <c r="D82">
        <v>5989.42</v>
      </c>
      <c r="F82" t="s">
        <v>329</v>
      </c>
      <c r="G82">
        <v>5989.42</v>
      </c>
    </row>
    <row r="83" spans="3:7">
      <c r="C83" t="s">
        <v>320</v>
      </c>
      <c r="D83">
        <v>1212.95</v>
      </c>
      <c r="F83" t="s">
        <v>320</v>
      </c>
      <c r="G83">
        <v>1212.95</v>
      </c>
    </row>
    <row r="84" spans="3:7">
      <c r="C84" t="s">
        <v>325</v>
      </c>
      <c r="D84">
        <v>2425.89</v>
      </c>
      <c r="F84" t="s">
        <v>325</v>
      </c>
      <c r="G84">
        <v>2425.89</v>
      </c>
    </row>
    <row r="85" spans="3:7">
      <c r="C85" t="s">
        <v>330</v>
      </c>
      <c r="D85">
        <v>4271.6799999999994</v>
      </c>
      <c r="F85" t="s">
        <v>330</v>
      </c>
      <c r="G85">
        <v>4271.6799999999994</v>
      </c>
    </row>
    <row r="86" spans="3:7">
      <c r="C86" s="93" t="s">
        <v>321</v>
      </c>
      <c r="D86" s="92">
        <v>730.57</v>
      </c>
      <c r="F86" s="93" t="s">
        <v>321</v>
      </c>
      <c r="G86" s="92">
        <v>730.57</v>
      </c>
    </row>
    <row r="87" spans="3:7">
      <c r="C87" s="93" t="s">
        <v>326</v>
      </c>
      <c r="D87" s="92">
        <v>1461.14</v>
      </c>
      <c r="F87" s="93" t="s">
        <v>326</v>
      </c>
      <c r="G87" s="92">
        <v>1461.14</v>
      </c>
    </row>
    <row r="88" spans="3:7">
      <c r="C88" s="93" t="s">
        <v>331</v>
      </c>
      <c r="D88" s="92">
        <v>2572.88</v>
      </c>
      <c r="F88" s="93" t="s">
        <v>331</v>
      </c>
      <c r="G88" s="92">
        <v>2572.88</v>
      </c>
    </row>
  </sheetData>
  <sheetProtection algorithmName="SHA-512" hashValue="uLyg8ZY5sgI6HbuRwfd1qU3jelbhcb1qpiQ6Q4xyWlM/2W10nRisogPclCoMX3NxdNeahVgc3jntMh8sH8sSzQ==" saltValue="ejPa8qpW/MsYOJw2HLr3pw==" spinCount="100000" sheet="1" objects="1" scenarios="1"/>
  <mergeCells count="2">
    <mergeCell ref="C2:D2"/>
    <mergeCell ref="F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AC54"/>
  <sheetViews>
    <sheetView topLeftCell="F22" zoomScale="85" zoomScaleNormal="85" workbookViewId="0">
      <selection activeCell="R37" sqref="R37"/>
    </sheetView>
  </sheetViews>
  <sheetFormatPr baseColWidth="10" defaultRowHeight="14.5"/>
  <cols>
    <col min="3" max="7" width="13.453125" bestFit="1" customWidth="1"/>
    <col min="11" max="11" width="12" customWidth="1"/>
    <col min="20" max="20" width="10.81640625" style="101"/>
  </cols>
  <sheetData>
    <row r="2" spans="3:29">
      <c r="C2" s="276" t="s">
        <v>337</v>
      </c>
      <c r="D2" s="276"/>
      <c r="E2" s="276"/>
      <c r="F2" s="276"/>
      <c r="G2" s="276"/>
    </row>
    <row r="3" spans="3:29">
      <c r="C3" s="4">
        <v>10000</v>
      </c>
      <c r="D3" s="4">
        <v>15000</v>
      </c>
      <c r="E3" s="4">
        <v>20000</v>
      </c>
      <c r="F3" s="4">
        <v>30000</v>
      </c>
      <c r="G3" s="4">
        <v>45000</v>
      </c>
      <c r="I3" s="4" t="s">
        <v>32</v>
      </c>
      <c r="J3" s="4"/>
      <c r="K3" s="4">
        <v>10000</v>
      </c>
      <c r="L3" s="4"/>
      <c r="M3" s="4">
        <v>15000</v>
      </c>
      <c r="N3" s="4"/>
      <c r="O3" s="4">
        <v>20000</v>
      </c>
      <c r="P3" s="4"/>
      <c r="Q3" s="4">
        <v>30000</v>
      </c>
      <c r="R3" s="4"/>
      <c r="S3" s="4">
        <v>45000</v>
      </c>
      <c r="T3" s="102"/>
      <c r="U3" s="4">
        <v>10000</v>
      </c>
      <c r="V3" s="4"/>
      <c r="W3" s="4">
        <v>15000</v>
      </c>
      <c r="X3" s="4"/>
      <c r="Y3" s="4">
        <v>20000</v>
      </c>
      <c r="Z3" s="4"/>
      <c r="AA3" s="4">
        <v>30000</v>
      </c>
      <c r="AB3" s="4"/>
      <c r="AC3" s="4">
        <v>45000</v>
      </c>
    </row>
    <row r="4" spans="3:29">
      <c r="C4" s="100" t="str">
        <f>CONCATENATE('Ingreso de Datos'!$E$11,'calculos 2'!$C$3)</f>
        <v>50 - 5410000</v>
      </c>
      <c r="D4" s="100" t="str">
        <f>CONCATENATE('Ingreso de Datos'!$E$11,'calculos 2'!$D$3)</f>
        <v>50 - 5415000</v>
      </c>
      <c r="E4" s="100" t="str">
        <f>CONCATENATE('Ingreso de Datos'!$E$11,'calculos 2'!$E$3)</f>
        <v>50 - 5420000</v>
      </c>
      <c r="F4" s="100" t="str">
        <f>CONCATENATE('Ingreso de Datos'!$E$11,'calculos 2'!$F$3)</f>
        <v>50 - 5430000</v>
      </c>
      <c r="G4" s="100" t="str">
        <f>CONCATENATE('Ingreso de Datos'!$E$11,'calculos 2'!$G$3)</f>
        <v>50 - 5445000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102"/>
      <c r="U4" s="4"/>
      <c r="V4" s="4"/>
      <c r="W4" s="4"/>
      <c r="X4" s="4"/>
      <c r="Y4" s="4"/>
      <c r="Z4" s="4"/>
      <c r="AA4" s="4"/>
      <c r="AB4" s="4"/>
      <c r="AC4" s="4"/>
    </row>
    <row r="5" spans="3:29">
      <c r="C5" s="40">
        <f>VLOOKUP($C$4,'calculos 2'!$J$7:$K$20,2,)</f>
        <v>9275.547384984302</v>
      </c>
      <c r="D5" s="40">
        <f>VLOOKUP($D$4,'calculos 2'!$L$7:$M$20,2,)</f>
        <v>8679.5934654990579</v>
      </c>
      <c r="E5" s="40">
        <f>VLOOKUP($E$4,'calculos 2'!$N$7:$O$20,2,)</f>
        <v>7715.83310607371</v>
      </c>
      <c r="F5" s="40">
        <f>VLOOKUP($F$4,'calculos 2'!$P$7:$Q$20,2,)</f>
        <v>5502.9671207477495</v>
      </c>
      <c r="G5" s="40">
        <f>VLOOKUP($G$4,'calculos 2'!$R$7:$S$20,2,)</f>
        <v>3314.500257389082</v>
      </c>
      <c r="I5" s="4" t="s">
        <v>31</v>
      </c>
      <c r="J5" s="4"/>
      <c r="K5" s="28">
        <v>10000</v>
      </c>
      <c r="L5" s="28"/>
      <c r="M5" s="28">
        <v>15000</v>
      </c>
      <c r="N5" s="28"/>
      <c r="O5" s="28">
        <v>20000</v>
      </c>
      <c r="P5" s="28"/>
      <c r="Q5" s="28">
        <v>30000</v>
      </c>
      <c r="R5" s="28"/>
      <c r="S5" s="28">
        <v>45000</v>
      </c>
      <c r="T5" s="103"/>
      <c r="U5" s="28">
        <v>10000</v>
      </c>
      <c r="V5" s="28"/>
      <c r="W5" s="28">
        <v>15000</v>
      </c>
      <c r="X5" s="28"/>
      <c r="Y5" s="28">
        <v>20000</v>
      </c>
      <c r="Z5" s="28"/>
      <c r="AA5" s="28">
        <v>30000</v>
      </c>
      <c r="AB5" s="28"/>
      <c r="AC5" s="28">
        <v>45000</v>
      </c>
    </row>
    <row r="6" spans="3:29">
      <c r="C6" s="40">
        <f>TARIFAS!$C$27</f>
        <v>5102</v>
      </c>
      <c r="D6" s="40">
        <f>TARIFAS!$C$27</f>
        <v>5102</v>
      </c>
      <c r="E6" s="40">
        <f>TARIFAS!$C$27</f>
        <v>5102</v>
      </c>
      <c r="F6" s="40">
        <f>TARIFAS!$C$27</f>
        <v>5102</v>
      </c>
      <c r="G6" s="40">
        <f>TARIFAS!$C$27</f>
        <v>5102</v>
      </c>
      <c r="I6" s="4" t="s">
        <v>2</v>
      </c>
      <c r="J6" s="4"/>
      <c r="K6" s="4"/>
      <c r="L6" s="4"/>
      <c r="M6" s="4"/>
      <c r="N6" s="4"/>
      <c r="O6" s="4"/>
      <c r="P6" s="4"/>
      <c r="Q6" s="4"/>
      <c r="R6" s="4"/>
      <c r="S6" s="4"/>
      <c r="T6" s="102"/>
      <c r="U6" s="4"/>
      <c r="V6" s="4"/>
      <c r="W6" s="4"/>
      <c r="X6" s="4"/>
      <c r="Y6" s="4"/>
      <c r="Z6" s="4"/>
      <c r="AA6" s="4"/>
      <c r="AB6" s="4"/>
      <c r="AC6" s="4"/>
    </row>
    <row r="7" spans="3:29">
      <c r="C7" s="4">
        <v>10000</v>
      </c>
      <c r="D7" s="4">
        <v>15000</v>
      </c>
      <c r="E7" s="4">
        <v>20000</v>
      </c>
      <c r="F7" s="4">
        <v>30000</v>
      </c>
      <c r="G7" s="4">
        <v>45000</v>
      </c>
      <c r="I7" s="6">
        <v>19</v>
      </c>
      <c r="J7" s="93" t="s">
        <v>247</v>
      </c>
      <c r="K7" s="92">
        <f>TARIFAS!S6*(1+'Ingreso de Datos'!$L$7)</f>
        <v>3091.8491283281014</v>
      </c>
      <c r="L7" s="93" t="s">
        <v>261</v>
      </c>
      <c r="M7" s="107">
        <f>TARIFAS!U6*(1+'Ingreso de Datos'!$L$7)</f>
        <v>2893.1978218330196</v>
      </c>
      <c r="N7" s="93" t="s">
        <v>275</v>
      </c>
      <c r="O7" s="107">
        <f>TARIFAS!W6*(1+'Ingreso de Datos'!$L$7)</f>
        <v>2571.9443686912373</v>
      </c>
      <c r="P7" s="93" t="s">
        <v>289</v>
      </c>
      <c r="Q7" s="107">
        <f>TARIFAS!Y6*(1+'Ingreso de Datos'!$L$7)</f>
        <v>1834.3223735825834</v>
      </c>
      <c r="R7" s="93" t="s">
        <v>303</v>
      </c>
      <c r="S7" s="107">
        <f>TARIFAS!AA6*(1+'Ingreso de Datos'!$L$7)</f>
        <v>1104.8334191296942</v>
      </c>
      <c r="T7" s="104" t="s">
        <v>247</v>
      </c>
      <c r="U7" s="107">
        <f>TARIFAS!AC6*(1+'Ingreso de Datos'!$L$7)</f>
        <v>1910.581117770826</v>
      </c>
      <c r="V7" s="93" t="s">
        <v>261</v>
      </c>
      <c r="W7" s="107">
        <f>TARIFAS!AE6*(1+'Ingreso de Datos'!$L$7)</f>
        <v>1787.8262809540506</v>
      </c>
      <c r="X7" s="93" t="s">
        <v>275</v>
      </c>
      <c r="Y7" s="107">
        <f>TARIFAS!AG6*(1+'Ingreso de Datos'!$L$7)</f>
        <v>1589.3105202826155</v>
      </c>
      <c r="Z7" s="93" t="s">
        <v>289</v>
      </c>
      <c r="AA7" s="107">
        <f>TARIFAS!AI6*(1+'Ingreso de Datos'!$L$7)</f>
        <v>1133.5034619773153</v>
      </c>
      <c r="AB7" s="93" t="s">
        <v>303</v>
      </c>
      <c r="AC7" s="107">
        <f>TARIFAS!AK6*(1+'Ingreso de Datos'!$L$7)</f>
        <v>682.72214498797928</v>
      </c>
    </row>
    <row r="8" spans="3:29">
      <c r="C8" s="100" t="str">
        <f>CONCATENATE('Ingreso de Datos'!$E$13,'calculos 2'!$C$3)</f>
        <v>1910000</v>
      </c>
      <c r="D8" s="100" t="str">
        <f>CONCATENATE('Ingreso de Datos'!$E$13,'calculos 2'!$D$3)</f>
        <v>1915000</v>
      </c>
      <c r="E8" s="100" t="str">
        <f>CONCATENATE('Ingreso de Datos'!$E$13,'calculos 2'!$E$3)</f>
        <v>1920000</v>
      </c>
      <c r="F8" s="100" t="str">
        <f>CONCATENATE('Ingreso de Datos'!$E$13,'calculos 2'!$F$3)</f>
        <v>1930000</v>
      </c>
      <c r="G8" s="100" t="str">
        <f>CONCATENATE('Ingreso de Datos'!$E$13,'calculos 2'!$G$3)</f>
        <v>1945000</v>
      </c>
      <c r="I8" s="9" t="s">
        <v>7</v>
      </c>
      <c r="J8" s="93" t="s">
        <v>248</v>
      </c>
      <c r="K8" s="92">
        <f>TARIFAS!S7*(1+'Ingreso de Datos'!$L$7)</f>
        <v>5024.2548335331639</v>
      </c>
      <c r="L8" s="93" t="s">
        <v>262</v>
      </c>
      <c r="M8" s="107">
        <f>TARIFAS!U7*(1+'Ingreso de Datos'!$L$7)</f>
        <v>4701.4464604786563</v>
      </c>
      <c r="N8" s="93" t="s">
        <v>276</v>
      </c>
      <c r="O8" s="107">
        <f>TARIFAS!W7*(1+'Ingreso de Datos'!$L$7)</f>
        <v>4179.4095991232598</v>
      </c>
      <c r="P8" s="93" t="s">
        <v>290</v>
      </c>
      <c r="Q8" s="107">
        <f>TARIFAS!Y7*(1+'Ingreso de Datos'!$L$7)</f>
        <v>2980.7738570716983</v>
      </c>
      <c r="R8" s="93" t="s">
        <v>304</v>
      </c>
      <c r="S8" s="107">
        <f>TARIFAS!AA7*(1+'Ingreso de Datos'!$L$7)</f>
        <v>1795.3543060857533</v>
      </c>
      <c r="T8" s="104" t="s">
        <v>248</v>
      </c>
      <c r="U8" s="107">
        <f>TARIFAS!AC7*(1+'Ingreso de Datos'!$L$7)</f>
        <v>3104.6943163775932</v>
      </c>
      <c r="V8" s="93" t="s">
        <v>262</v>
      </c>
      <c r="W8" s="107">
        <f>TARIFAS!AE7*(1+'Ingreso de Datos'!$L$7)</f>
        <v>2905.2177065503329</v>
      </c>
      <c r="X8" s="93" t="s">
        <v>276</v>
      </c>
      <c r="Y8" s="107">
        <f>TARIFAS!AG7*(1+'Ingreso de Datos'!$L$7)</f>
        <v>2582.6295954592506</v>
      </c>
      <c r="Z8" s="93" t="s">
        <v>290</v>
      </c>
      <c r="AA8" s="107">
        <f>TARIFAS!AI7*(1+'Ingreso de Datos'!$L$7)</f>
        <v>1841.9431257131378</v>
      </c>
      <c r="AB8" s="93" t="s">
        <v>304</v>
      </c>
      <c r="AC8" s="107">
        <f>TARIFAS!AK7*(1+'Ingreso de Datos'!$L$7)</f>
        <v>1109.4234856054663</v>
      </c>
    </row>
    <row r="9" spans="3:29">
      <c r="C9" s="40">
        <f>IF('Ingreso de Datos'!C13&gt;0,VLOOKUP($C$8,'calculos 2'!$J$7:$K$20,2,),0)</f>
        <v>0</v>
      </c>
      <c r="D9" s="40">
        <f>IF('Ingreso de Datos'!C13&gt;0,VLOOKUP($D$8,'calculos 2'!$L$7:$M$20,2,),0)</f>
        <v>0</v>
      </c>
      <c r="E9" s="40">
        <f>IF('Ingreso de Datos'!C13&gt;0,VLOOKUP($E$8,'calculos 2'!$N$7:$O$20,2,),0)</f>
        <v>0</v>
      </c>
      <c r="F9" s="40">
        <f>IF('Ingreso de Datos'!C13&gt;0,VLOOKUP($F$8,'calculos 2'!$P$7:$Q$20,2,),0)</f>
        <v>0</v>
      </c>
      <c r="G9" s="40">
        <f>IF('Ingreso de Datos'!C13&gt;0,VLOOKUP($G$8,'calculos 2'!$R$7:$S$20,2,),0)</f>
        <v>0</v>
      </c>
      <c r="I9" s="9" t="s">
        <v>9</v>
      </c>
      <c r="J9" s="93" t="s">
        <v>249</v>
      </c>
      <c r="K9" s="92">
        <f>TARIFAS!S8*(1+'Ingreso de Datos'!$L$7)</f>
        <v>6570.179397697214</v>
      </c>
      <c r="L9" s="93" t="s">
        <v>263</v>
      </c>
      <c r="M9" s="107">
        <f>TARIFAS!U8*(1+'Ingreso de Datos'!$L$7)</f>
        <v>6148.0453713951674</v>
      </c>
      <c r="N9" s="93" t="s">
        <v>277</v>
      </c>
      <c r="O9" s="107">
        <f>TARIFAS!W8*(1+'Ingreso de Datos'!$L$7)</f>
        <v>5465.3817834688789</v>
      </c>
      <c r="P9" s="93" t="s">
        <v>291</v>
      </c>
      <c r="Q9" s="107">
        <f>TARIFAS!Y8*(1+'Ingreso de Datos'!$L$7)</f>
        <v>3897.9350438629895</v>
      </c>
      <c r="R9" s="93" t="s">
        <v>305</v>
      </c>
      <c r="S9" s="107">
        <f>TARIFAS!AA8*(1+'Ingreso de Datos'!$L$7)</f>
        <v>2347.7710156506005</v>
      </c>
      <c r="T9" s="104" t="s">
        <v>249</v>
      </c>
      <c r="U9" s="107">
        <f>TARIFAS!AC8*(1+'Ingreso de Datos'!$L$7)</f>
        <v>4059.9848752630055</v>
      </c>
      <c r="V9" s="93" t="s">
        <v>263</v>
      </c>
      <c r="W9" s="107">
        <f>TARIFAS!AE8*(1+'Ingreso de Datos'!$L$7)</f>
        <v>3799.130847027358</v>
      </c>
      <c r="X9" s="93" t="s">
        <v>277</v>
      </c>
      <c r="Y9" s="107">
        <f>TARIFAS!AG8*(1+'Ingreso de Datos'!$L$7)</f>
        <v>3377.2848556005583</v>
      </c>
      <c r="Z9" s="93" t="s">
        <v>291</v>
      </c>
      <c r="AA9" s="107">
        <f>TARIFAS!AI8*(1+'Ingreso de Datos'!$L$7)</f>
        <v>2408.6948567017953</v>
      </c>
      <c r="AB9" s="93" t="s">
        <v>305</v>
      </c>
      <c r="AC9" s="107">
        <f>TARIFAS!AK8*(1+'Ingreso de Datos'!$L$7)</f>
        <v>1450.7845580994563</v>
      </c>
    </row>
    <row r="10" spans="3:29">
      <c r="I10" s="9" t="s">
        <v>10</v>
      </c>
      <c r="J10" s="93" t="s">
        <v>250</v>
      </c>
      <c r="K10" s="92">
        <f>TARIFAS!S9*(1+'Ingreso de Datos'!$L$7)</f>
        <v>7729.6228208202519</v>
      </c>
      <c r="L10" s="93" t="s">
        <v>264</v>
      </c>
      <c r="M10" s="107">
        <f>TARIFAS!U9*(1+'Ingreso de Datos'!$L$7)</f>
        <v>7232.9945545825503</v>
      </c>
      <c r="N10" s="93" t="s">
        <v>278</v>
      </c>
      <c r="O10" s="107">
        <f>TARIFAS!W9*(1+'Ingreso de Datos'!$L$7)</f>
        <v>6429.8609217280928</v>
      </c>
      <c r="P10" s="93" t="s">
        <v>292</v>
      </c>
      <c r="Q10" s="107">
        <f>TARIFAS!Y9*(1+'Ingreso de Datos'!$L$7)</f>
        <v>4585.8059339564597</v>
      </c>
      <c r="R10" s="93" t="s">
        <v>306</v>
      </c>
      <c r="S10" s="107">
        <f>TARIFAS!AA9*(1+'Ingreso de Datos'!$L$7)</f>
        <v>2762.0835478242366</v>
      </c>
      <c r="T10" s="104" t="s">
        <v>250</v>
      </c>
      <c r="U10" s="107">
        <f>TARIFAS!AC9*(1+'Ingreso de Datos'!$L$7)</f>
        <v>4776.4527944270649</v>
      </c>
      <c r="V10" s="93" t="s">
        <v>264</v>
      </c>
      <c r="W10" s="107">
        <f>TARIFAS!AE9*(1+'Ingreso de Datos'!$L$7)</f>
        <v>4469.5657023851272</v>
      </c>
      <c r="X10" s="93" t="s">
        <v>278</v>
      </c>
      <c r="Y10" s="107">
        <f>TARIFAS!AG9*(1+'Ingreso de Datos'!$L$7)</f>
        <v>3973.2763007065373</v>
      </c>
      <c r="Z10" s="93" t="s">
        <v>292</v>
      </c>
      <c r="AA10" s="107">
        <f>TARIFAS!AI9*(1+'Ingreso de Datos'!$L$7)</f>
        <v>2833.758654943289</v>
      </c>
      <c r="AB10" s="93" t="s">
        <v>306</v>
      </c>
      <c r="AC10" s="107">
        <f>TARIFAS!AK9*(1+'Ingreso de Datos'!$L$7)</f>
        <v>1706.8053624699482</v>
      </c>
    </row>
    <row r="11" spans="3:29">
      <c r="C11" s="4">
        <v>10000</v>
      </c>
      <c r="D11" s="4">
        <v>15000</v>
      </c>
      <c r="E11" s="4">
        <v>20000</v>
      </c>
      <c r="F11" s="4">
        <v>30000</v>
      </c>
      <c r="G11" s="4">
        <v>45000</v>
      </c>
      <c r="I11" s="9" t="s">
        <v>11</v>
      </c>
      <c r="J11" s="93" t="s">
        <v>251</v>
      </c>
      <c r="K11" s="92">
        <f>TARIFAS!S10*(1+'Ingreso de Datos'!$L$7)</f>
        <v>8116.1039618612649</v>
      </c>
      <c r="L11" s="93" t="s">
        <v>265</v>
      </c>
      <c r="M11" s="107">
        <f>TARIFAS!U10*(1+'Ingreso de Datos'!$L$7)</f>
        <v>7594.6442823116768</v>
      </c>
      <c r="N11" s="93" t="s">
        <v>279</v>
      </c>
      <c r="O11" s="107">
        <f>TARIFAS!W10*(1+'Ingreso de Datos'!$L$7)</f>
        <v>6751.3539678144962</v>
      </c>
      <c r="P11" s="93" t="s">
        <v>293</v>
      </c>
      <c r="Q11" s="107">
        <f>TARIFAS!Y10*(1+'Ingreso de Datos'!$L$7)</f>
        <v>4815.0962306542824</v>
      </c>
      <c r="R11" s="93" t="s">
        <v>307</v>
      </c>
      <c r="S11" s="107">
        <f>TARIFAS!AA10*(1+'Ingreso de Datos'!$L$7)</f>
        <v>2900.1877252154477</v>
      </c>
      <c r="T11" s="104" t="s">
        <v>251</v>
      </c>
      <c r="U11" s="107">
        <f>TARIFAS!AC10*(1+'Ingreso de Datos'!$L$7)</f>
        <v>5015.2754341484178</v>
      </c>
      <c r="V11" s="93" t="s">
        <v>265</v>
      </c>
      <c r="W11" s="107">
        <f>TARIFAS!AE10*(1+'Ingreso de Datos'!$L$7)</f>
        <v>4693.043987504383</v>
      </c>
      <c r="X11" s="93" t="s">
        <v>279</v>
      </c>
      <c r="Y11" s="107">
        <f>TARIFAS!AG10*(1+'Ingreso de Datos'!$L$7)</f>
        <v>4171.9401157418652</v>
      </c>
      <c r="Z11" s="93" t="s">
        <v>293</v>
      </c>
      <c r="AA11" s="107">
        <f>TARIFAS!AI10*(1+'Ingreso de Datos'!$L$7)</f>
        <v>2975.4465876904528</v>
      </c>
      <c r="AB11" s="93" t="s">
        <v>307</v>
      </c>
      <c r="AC11" s="107">
        <f>TARIFAS!AK10*(1+'Ingreso de Datos'!$L$7)</f>
        <v>1792.1456305934455</v>
      </c>
    </row>
    <row r="12" spans="3:29">
      <c r="C12" s="100" t="str">
        <f>CONCATENATE('Ingreso de Datos'!$C$15,'calculos 2'!C25)</f>
        <v>Sin Hijos10000</v>
      </c>
      <c r="D12" s="100" t="str">
        <f>CONCATENATE('Ingreso de Datos'!$C$15,'calculos 2'!D25)</f>
        <v>Sin Hijos15000</v>
      </c>
      <c r="E12" s="100" t="str">
        <f>CONCATENATE('Ingreso de Datos'!$C$15,'calculos 2'!E25)</f>
        <v>Sin Hijos20000</v>
      </c>
      <c r="F12" s="100" t="str">
        <f>CONCATENATE('Ingreso de Datos'!$C$15,'calculos 2'!F25)</f>
        <v>Sin Hijos30000</v>
      </c>
      <c r="G12" s="100" t="str">
        <f>CONCATENATE('Ingreso de Datos'!$C$15,'calculos 2'!G25)</f>
        <v>Sin Hijos45000</v>
      </c>
      <c r="I12" s="9" t="s">
        <v>12</v>
      </c>
      <c r="J12" s="93" t="s">
        <v>252</v>
      </c>
      <c r="K12" s="92">
        <f>TARIFAS!S11*(1+'Ingreso de Datos'!$L$7)</f>
        <v>8502.5851029022779</v>
      </c>
      <c r="L12" s="93" t="s">
        <v>266</v>
      </c>
      <c r="M12" s="107">
        <f>TARIFAS!U11*(1+'Ingreso de Datos'!$L$7)</f>
        <v>7956.2940100408059</v>
      </c>
      <c r="N12" s="93" t="s">
        <v>280</v>
      </c>
      <c r="O12" s="107">
        <f>TARIFAS!W11*(1+'Ingreso de Datos'!$L$7)</f>
        <v>7072.8470139009023</v>
      </c>
      <c r="P12" s="93" t="s">
        <v>294</v>
      </c>
      <c r="Q12" s="107">
        <f>TARIFAS!Y11*(1+'Ingreso de Datos'!$L$7)</f>
        <v>5044.3865273521051</v>
      </c>
      <c r="R12" s="93" t="s">
        <v>308</v>
      </c>
      <c r="S12" s="107">
        <f>TARIFAS!AA11*(1+'Ingreso de Datos'!$L$7)</f>
        <v>3038.2919026066593</v>
      </c>
      <c r="T12" s="104" t="s">
        <v>252</v>
      </c>
      <c r="U12" s="107">
        <f>TARIFAS!AC11*(1+'Ingreso de Datos'!$L$7)</f>
        <v>5254.0980738697717</v>
      </c>
      <c r="V12" s="93" t="s">
        <v>266</v>
      </c>
      <c r="W12" s="107">
        <f>TARIFAS!AE11*(1+'Ingreso de Datos'!$L$7)</f>
        <v>4916.5222726236398</v>
      </c>
      <c r="X12" s="93" t="s">
        <v>280</v>
      </c>
      <c r="Y12" s="107">
        <f>TARIFAS!AG11*(1+'Ingreso de Datos'!$L$7)</f>
        <v>4370.6039307771925</v>
      </c>
      <c r="Z12" s="93" t="s">
        <v>294</v>
      </c>
      <c r="AA12" s="107">
        <f>TARIFAS!AI11*(1+'Ingreso de Datos'!$L$7)</f>
        <v>3117.1345204376175</v>
      </c>
      <c r="AB12" s="93" t="s">
        <v>308</v>
      </c>
      <c r="AC12" s="107">
        <f>TARIFAS!AK11*(1+'Ingreso de Datos'!$L$7)</f>
        <v>1877.4858987169432</v>
      </c>
    </row>
    <row r="13" spans="3:29">
      <c r="C13">
        <f>IFERROR(VLOOKUP($C$12,'calculos 2'!$J$22:$K$24,2,),0)</f>
        <v>0</v>
      </c>
      <c r="D13">
        <f>IFERROR(VLOOKUP($D$12,'calculos 2'!$L$22:$M$24,2,),0)</f>
        <v>0</v>
      </c>
      <c r="E13">
        <f>IFERROR(VLOOKUP($E$12,'calculos 2'!$N$22:$O$24,2,),0)</f>
        <v>0</v>
      </c>
      <c r="F13">
        <f>IFERROR(VLOOKUP($F$12,'calculos 2'!$P$22:$Q$24,2,),0)</f>
        <v>0</v>
      </c>
      <c r="G13">
        <f>IFERROR(VLOOKUP($G$12,'calculos 2'!$R$22:$S$24,2,),0)</f>
        <v>0</v>
      </c>
      <c r="I13" s="9" t="s">
        <v>13</v>
      </c>
      <c r="J13" s="93" t="s">
        <v>253</v>
      </c>
      <c r="K13" s="92">
        <f>TARIFAS!S12*(1+'Ingreso de Datos'!$L$7)</f>
        <v>8889.0662439432908</v>
      </c>
      <c r="L13" s="93" t="s">
        <v>267</v>
      </c>
      <c r="M13" s="107">
        <f>TARIFAS!U12*(1+'Ingreso de Datos'!$L$7)</f>
        <v>8317.9437377699323</v>
      </c>
      <c r="N13" s="93" t="s">
        <v>281</v>
      </c>
      <c r="O13" s="107">
        <f>TARIFAS!W12*(1+'Ingreso de Datos'!$L$7)</f>
        <v>7394.3400599873057</v>
      </c>
      <c r="P13" s="93" t="s">
        <v>295</v>
      </c>
      <c r="Q13" s="107">
        <f>TARIFAS!Y12*(1+'Ingreso de Datos'!$L$7)</f>
        <v>5273.6768240499259</v>
      </c>
      <c r="R13" s="93" t="s">
        <v>309</v>
      </c>
      <c r="S13" s="107">
        <f>TARIFAS!AA12*(1+'Ingreso de Datos'!$L$7)</f>
        <v>3176.3960799978713</v>
      </c>
      <c r="T13" s="104" t="s">
        <v>253</v>
      </c>
      <c r="U13" s="107">
        <f>TARIFAS!AC12*(1+'Ingreso de Datos'!$L$7)</f>
        <v>5492.9207135911247</v>
      </c>
      <c r="V13" s="93" t="s">
        <v>267</v>
      </c>
      <c r="W13" s="107">
        <f>TARIFAS!AE12*(1+'Ingreso de Datos'!$L$7)</f>
        <v>5140.0005577428956</v>
      </c>
      <c r="X13" s="93" t="s">
        <v>281</v>
      </c>
      <c r="Y13" s="107">
        <f>TARIFAS!AG12*(1+'Ingreso de Datos'!$L$7)</f>
        <v>4569.267745812519</v>
      </c>
      <c r="Z13" s="93" t="s">
        <v>295</v>
      </c>
      <c r="AA13" s="107">
        <f>TARIFAS!AI12*(1+'Ingreso de Datos'!$L$7)</f>
        <v>3258.8224531847814</v>
      </c>
      <c r="AB13" s="93" t="s">
        <v>309</v>
      </c>
      <c r="AC13" s="107">
        <f>TARIFAS!AK12*(1+'Ingreso de Datos'!$L$7)</f>
        <v>1962.82616684044</v>
      </c>
    </row>
    <row r="14" spans="3:29">
      <c r="I14" s="9" t="s">
        <v>14</v>
      </c>
      <c r="J14" s="93" t="s">
        <v>254</v>
      </c>
      <c r="K14" s="92">
        <f>TARIFAS!S13*(1+'Ingreso de Datos'!$L$7)</f>
        <v>9275.547384984302</v>
      </c>
      <c r="L14" s="93" t="s">
        <v>268</v>
      </c>
      <c r="M14" s="107">
        <f>TARIFAS!U13*(1+'Ingreso de Datos'!$L$7)</f>
        <v>8679.5934654990579</v>
      </c>
      <c r="N14" s="93" t="s">
        <v>282</v>
      </c>
      <c r="O14" s="107">
        <f>TARIFAS!W13*(1+'Ingreso de Datos'!$L$7)</f>
        <v>7715.83310607371</v>
      </c>
      <c r="P14" s="93" t="s">
        <v>296</v>
      </c>
      <c r="Q14" s="107">
        <f>TARIFAS!Y13*(1+'Ingreso de Datos'!$L$7)</f>
        <v>5502.9671207477495</v>
      </c>
      <c r="R14" s="93" t="s">
        <v>310</v>
      </c>
      <c r="S14" s="107">
        <f>TARIFAS!AA13*(1+'Ingreso de Datos'!$L$7)</f>
        <v>3314.500257389082</v>
      </c>
      <c r="T14" s="104" t="s">
        <v>254</v>
      </c>
      <c r="U14" s="107">
        <f>TARIFAS!AC13*(1+'Ingreso de Datos'!$L$7)</f>
        <v>5731.7433533124786</v>
      </c>
      <c r="V14" s="93" t="s">
        <v>268</v>
      </c>
      <c r="W14" s="107">
        <f>TARIFAS!AE13*(1+'Ingreso de Datos'!$L$7)</f>
        <v>5363.4788428621514</v>
      </c>
      <c r="X14" s="93" t="s">
        <v>282</v>
      </c>
      <c r="Y14" s="107">
        <f>TARIFAS!AG13*(1+'Ingreso de Datos'!$L$7)</f>
        <v>4767.9315608478455</v>
      </c>
      <c r="Z14" s="93" t="s">
        <v>296</v>
      </c>
      <c r="AA14" s="107">
        <f>TARIFAS!AI13*(1+'Ingreso de Datos'!$L$7)</f>
        <v>3400.5103859319456</v>
      </c>
      <c r="AB14" s="93" t="s">
        <v>310</v>
      </c>
      <c r="AC14" s="107">
        <f>TARIFAS!AK13*(1+'Ingreso de Datos'!$L$7)</f>
        <v>2048.1664349639382</v>
      </c>
    </row>
    <row r="15" spans="3:29">
      <c r="C15" s="40">
        <f>IF('Ingreso de Datos'!$C$21="SI",'calculos 2'!C6+C5+C9+C13,'calculos 2'!C5+'calculos 2'!C9+'calculos 2'!C13)</f>
        <v>9275.547384984302</v>
      </c>
      <c r="D15" s="40">
        <f>IF('Ingreso de Datos'!$C$21="SI",'calculos 2'!D6+D5+D9+D13,'calculos 2'!D5+'calculos 2'!D9+'calculos 2'!D13)</f>
        <v>8679.5934654990579</v>
      </c>
      <c r="E15" s="40">
        <f>IF('Ingreso de Datos'!$C$21="SI",'calculos 2'!E6+E5+E9+E13,'calculos 2'!E5+'calculos 2'!E9+'calculos 2'!E13)</f>
        <v>7715.83310607371</v>
      </c>
      <c r="F15" s="40">
        <f>IF('Ingreso de Datos'!$C$21="SI",'calculos 2'!F6+F5+F9+F13,'calculos 2'!F5+'calculos 2'!F9+'calculos 2'!F13)</f>
        <v>5502.9671207477495</v>
      </c>
      <c r="G15" s="40">
        <f>IF('Ingreso de Datos'!$C$21="SI",'calculos 2'!G6+G5+G9+G13,'calculos 2'!G5+'calculos 2'!G9+'calculos 2'!G13)</f>
        <v>3314.500257389082</v>
      </c>
      <c r="I15" s="9" t="s">
        <v>15</v>
      </c>
      <c r="J15" s="93" t="s">
        <v>255</v>
      </c>
      <c r="K15" s="92">
        <f>TARIFAS!S14*(1+'Ingreso de Datos'!$L$7)</f>
        <v>10821.471949148356</v>
      </c>
      <c r="L15" s="93" t="s">
        <v>269</v>
      </c>
      <c r="M15" s="107">
        <f>TARIFAS!U14*(1+'Ingreso de Datos'!$L$7)</f>
        <v>10126.192376415569</v>
      </c>
      <c r="N15" s="93" t="s">
        <v>283</v>
      </c>
      <c r="O15" s="107">
        <f>TARIFAS!W14*(1+'Ingreso de Datos'!$L$7)</f>
        <v>9001.8052904193282</v>
      </c>
      <c r="P15" s="93" t="s">
        <v>297</v>
      </c>
      <c r="Q15" s="107">
        <f>TARIFAS!Y14*(1+'Ingreso de Datos'!$L$7)</f>
        <v>6420.128307539042</v>
      </c>
      <c r="R15" s="93" t="s">
        <v>311</v>
      </c>
      <c r="S15" s="107">
        <f>TARIFAS!AA14*(1+'Ingreso de Datos'!$L$7)</f>
        <v>3866.9169669539297</v>
      </c>
      <c r="T15" s="104" t="s">
        <v>255</v>
      </c>
      <c r="U15" s="107">
        <f>TARIFAS!AC14*(1+'Ingreso de Datos'!$L$7)</f>
        <v>6687.0339121978905</v>
      </c>
      <c r="V15" s="93" t="s">
        <v>269</v>
      </c>
      <c r="W15" s="107">
        <f>TARIFAS!AE14*(1+'Ingreso de Datos'!$L$7)</f>
        <v>6257.3919833391774</v>
      </c>
      <c r="X15" s="93" t="s">
        <v>283</v>
      </c>
      <c r="Y15" s="107">
        <f>TARIFAS!AG14*(1+'Ingreso de Datos'!$L$7)</f>
        <v>5562.5868209891541</v>
      </c>
      <c r="Z15" s="93" t="s">
        <v>297</v>
      </c>
      <c r="AA15" s="107">
        <f>TARIFAS!AI14*(1+'Ingreso de Datos'!$L$7)</f>
        <v>3967.2621169206036</v>
      </c>
      <c r="AB15" s="93" t="s">
        <v>311</v>
      </c>
      <c r="AC15" s="107">
        <f>TARIFAS!AK14*(1+'Ingreso de Datos'!$L$7)</f>
        <v>2389.5275074579272</v>
      </c>
    </row>
    <row r="16" spans="3:29">
      <c r="C16" s="277" t="s">
        <v>63</v>
      </c>
      <c r="D16" s="277"/>
      <c r="E16" s="277"/>
      <c r="F16" s="277"/>
      <c r="G16" s="277"/>
      <c r="I16" s="9" t="s">
        <v>16</v>
      </c>
      <c r="J16" s="93" t="s">
        <v>256</v>
      </c>
      <c r="K16" s="92">
        <f>TARIFAS!S15*(1+'Ingreso de Datos'!$L$7)</f>
        <v>15459.245641640504</v>
      </c>
      <c r="L16" s="93" t="s">
        <v>270</v>
      </c>
      <c r="M16" s="107">
        <f>TARIFAS!U15*(1+'Ingreso de Datos'!$L$7)</f>
        <v>14465.989109165101</v>
      </c>
      <c r="N16" s="93" t="s">
        <v>284</v>
      </c>
      <c r="O16" s="107">
        <f>TARIFAS!W15*(1+'Ingreso de Datos'!$L$7)</f>
        <v>12859.721843456186</v>
      </c>
      <c r="P16" s="93" t="s">
        <v>298</v>
      </c>
      <c r="Q16" s="107">
        <f>TARIFAS!Y15*(1+'Ingreso de Datos'!$L$7)</f>
        <v>9171.6118679129195</v>
      </c>
      <c r="R16" s="93" t="s">
        <v>312</v>
      </c>
      <c r="S16" s="107">
        <f>TARIFAS!AA15*(1+'Ingreso de Datos'!$L$7)</f>
        <v>5524.1670956484732</v>
      </c>
      <c r="T16" s="104" t="s">
        <v>256</v>
      </c>
      <c r="U16" s="107">
        <f>TARIFAS!AC15*(1+'Ingreso de Datos'!$L$7)</f>
        <v>9552.9055888541297</v>
      </c>
      <c r="V16" s="93" t="s">
        <v>270</v>
      </c>
      <c r="W16" s="107">
        <f>TARIFAS!AE15*(1+'Ingreso de Datos'!$L$7)</f>
        <v>8939.1314047702544</v>
      </c>
      <c r="X16" s="93" t="s">
        <v>284</v>
      </c>
      <c r="Y16" s="107">
        <f>TARIFAS!AG15*(1+'Ingreso de Datos'!$L$7)</f>
        <v>7946.5526014130746</v>
      </c>
      <c r="Z16" s="93" t="s">
        <v>298</v>
      </c>
      <c r="AA16" s="107">
        <f>TARIFAS!AI15*(1+'Ingreso de Datos'!$L$7)</f>
        <v>5667.517309886578</v>
      </c>
      <c r="AB16" s="93" t="s">
        <v>312</v>
      </c>
      <c r="AC16" s="107">
        <f>TARIFAS!AK15*(1+'Ingreso de Datos'!$L$7)</f>
        <v>3413.6107249398965</v>
      </c>
    </row>
    <row r="17" spans="3:29">
      <c r="C17" s="4">
        <v>10000</v>
      </c>
      <c r="D17" s="4">
        <v>15000</v>
      </c>
      <c r="E17" s="4">
        <v>20000</v>
      </c>
      <c r="F17" s="4">
        <v>30000</v>
      </c>
      <c r="G17" s="4">
        <v>45000</v>
      </c>
      <c r="I17" s="9" t="s">
        <v>17</v>
      </c>
      <c r="J17" s="93" t="s">
        <v>257</v>
      </c>
      <c r="K17" s="92">
        <f>TARIFAS!S16*(1+'Ingreso de Datos'!$L$7)</f>
        <v>27053.679872870889</v>
      </c>
      <c r="L17" s="93" t="s">
        <v>271</v>
      </c>
      <c r="M17" s="107">
        <f>TARIFAS!U16*(1+'Ingreso de Datos'!$L$7)</f>
        <v>25315.480941038921</v>
      </c>
      <c r="N17" s="93" t="s">
        <v>285</v>
      </c>
      <c r="O17" s="107">
        <f>TARIFAS!W16*(1+'Ingreso de Datos'!$L$7)</f>
        <v>22504.513226048322</v>
      </c>
      <c r="P17" s="93" t="s">
        <v>299</v>
      </c>
      <c r="Q17" s="107">
        <f>TARIFAS!Y16*(1+'Ingreso de Datos'!$L$7)</f>
        <v>16050.320768847605</v>
      </c>
      <c r="R17" s="93" t="s">
        <v>313</v>
      </c>
      <c r="S17" s="107">
        <f>TARIFAS!AA16*(1+'Ingreso de Datos'!$L$7)</f>
        <v>9667.2924173848223</v>
      </c>
      <c r="T17" s="104" t="s">
        <v>257</v>
      </c>
      <c r="U17" s="107">
        <f>TARIFAS!AC16*(1+'Ingreso de Datos'!$L$7)</f>
        <v>16717.584780494723</v>
      </c>
      <c r="V17" s="93" t="s">
        <v>271</v>
      </c>
      <c r="W17" s="107">
        <f>TARIFAS!AE16*(1+'Ingreso de Datos'!$L$7)</f>
        <v>15643.47995834794</v>
      </c>
      <c r="X17" s="93" t="s">
        <v>285</v>
      </c>
      <c r="Y17" s="107">
        <f>TARIFAS!AG16*(1+'Ingreso de Datos'!$L$7)</f>
        <v>13906.467052472884</v>
      </c>
      <c r="Z17" s="93" t="s">
        <v>299</v>
      </c>
      <c r="AA17" s="107">
        <f>TARIFAS!AI16*(1+'Ingreso de Datos'!$L$7)</f>
        <v>9918.1552923015097</v>
      </c>
      <c r="AB17" s="93" t="s">
        <v>313</v>
      </c>
      <c r="AC17" s="107">
        <f>TARIFAS!AK16*(1+'Ingreso de Datos'!$L$7)</f>
        <v>5973.8187686448191</v>
      </c>
    </row>
    <row r="18" spans="3:29">
      <c r="C18" s="100" t="str">
        <f>CONCATENATE('Ingreso de Datos'!$E$11,'calculos 2'!$C$3)</f>
        <v>50 - 5410000</v>
      </c>
      <c r="D18" s="100" t="str">
        <f>CONCATENATE('Ingreso de Datos'!$E$11,'calculos 2'!$D$3)</f>
        <v>50 - 5415000</v>
      </c>
      <c r="E18" s="100" t="str">
        <f>CONCATENATE('Ingreso de Datos'!$E$11,'calculos 2'!$E$3)</f>
        <v>50 - 5420000</v>
      </c>
      <c r="F18" s="100" t="str">
        <f>CONCATENATE('Ingreso de Datos'!$E$11,'calculos 2'!$F$3)</f>
        <v>50 - 5430000</v>
      </c>
      <c r="G18" s="100" t="str">
        <f>CONCATENATE('Ingreso de Datos'!$E$11,'calculos 2'!$G$3)</f>
        <v>50 - 5445000</v>
      </c>
      <c r="I18" s="9" t="s">
        <v>18</v>
      </c>
      <c r="J18" s="93" t="s">
        <v>258</v>
      </c>
      <c r="K18" s="92">
        <f>TARIFAS!S17*(1+'Ingreso de Datos'!$L$7)</f>
        <v>34783.302693691141</v>
      </c>
      <c r="L18" s="93" t="s">
        <v>272</v>
      </c>
      <c r="M18" s="107">
        <f>TARIFAS!U17*(1+'Ingreso de Datos'!$L$7)</f>
        <v>32548.475495621478</v>
      </c>
      <c r="N18" s="93" t="s">
        <v>286</v>
      </c>
      <c r="O18" s="107">
        <f>TARIFAS!W17*(1+'Ingreso de Datos'!$L$7)</f>
        <v>28934.374147776412</v>
      </c>
      <c r="P18" s="93" t="s">
        <v>300</v>
      </c>
      <c r="Q18" s="107">
        <f>TARIFAS!Y17*(1+'Ingreso de Datos'!$L$7)</f>
        <v>20636.126702804064</v>
      </c>
      <c r="R18" s="93" t="s">
        <v>314</v>
      </c>
      <c r="S18" s="107">
        <f>TARIFAS!AA17*(1+'Ingreso de Datos'!$L$7)</f>
        <v>12429.375965209061</v>
      </c>
      <c r="T18" s="104" t="s">
        <v>258</v>
      </c>
      <c r="U18" s="107">
        <f>TARIFAS!AC17*(1+'Ingreso de Datos'!$L$7)</f>
        <v>21494.037574921796</v>
      </c>
      <c r="V18" s="93" t="s">
        <v>272</v>
      </c>
      <c r="W18" s="107">
        <f>TARIFAS!AE17*(1+'Ingreso de Datos'!$L$7)</f>
        <v>20113.045660733071</v>
      </c>
      <c r="X18" s="93" t="s">
        <v>286</v>
      </c>
      <c r="Y18" s="107">
        <f>TARIFAS!AG17*(1+'Ingreso de Datos'!$L$7)</f>
        <v>17879.743353179423</v>
      </c>
      <c r="Z18" s="93" t="s">
        <v>300</v>
      </c>
      <c r="AA18" s="107">
        <f>TARIFAS!AI17*(1+'Ingreso de Datos'!$L$7)</f>
        <v>12751.913947244799</v>
      </c>
      <c r="AB18" s="93" t="s">
        <v>314</v>
      </c>
      <c r="AC18" s="107">
        <f>TARIFAS!AK17*(1+'Ingreso de Datos'!$L$7)</f>
        <v>7680.624131114766</v>
      </c>
    </row>
    <row r="19" spans="3:29">
      <c r="C19" s="40">
        <f>VLOOKUP($C$4,'calculos 2'!$T$7:$U$20,2,)</f>
        <v>5731.7433533124786</v>
      </c>
      <c r="D19" s="40">
        <f>VLOOKUP($D$4,'calculos 2'!$V$7:$W$20,2,)</f>
        <v>5363.4788428621514</v>
      </c>
      <c r="E19" s="40">
        <f>VLOOKUP($E$4,'calculos 2'!$X$7:$Y$20,2,)</f>
        <v>4767.9315608478455</v>
      </c>
      <c r="F19" s="40">
        <f>VLOOKUP($F$4,'calculos 2'!$Z$7:$AA$20,2,)</f>
        <v>3400.5103859319456</v>
      </c>
      <c r="G19" s="40">
        <f>VLOOKUP($G$4,'calculos 2'!$AB$7:$AC$20,2,)</f>
        <v>2048.1664349639382</v>
      </c>
      <c r="I19" s="9" t="s">
        <v>19</v>
      </c>
      <c r="J19" s="93" t="s">
        <v>259</v>
      </c>
      <c r="K19" s="92">
        <f>TARIFAS!S18*(1+'Ingreso de Datos'!$L$7)</f>
        <v>61836.982566562016</v>
      </c>
      <c r="L19" s="93" t="s">
        <v>273</v>
      </c>
      <c r="M19" s="107">
        <f>TARIFAS!U18*(1+'Ingreso de Datos'!$L$7)</f>
        <v>57863.956436660403</v>
      </c>
      <c r="N19" s="93" t="s">
        <v>287</v>
      </c>
      <c r="O19" s="107">
        <f>TARIFAS!W18*(1+'Ingreso de Datos'!$L$7)</f>
        <v>51438.887373824742</v>
      </c>
      <c r="P19" s="93" t="s">
        <v>301</v>
      </c>
      <c r="Q19" s="107">
        <f>TARIFAS!Y18*(1+'Ingreso de Datos'!$L$7)</f>
        <v>36686.447471651678</v>
      </c>
      <c r="R19" s="93" t="s">
        <v>315</v>
      </c>
      <c r="S19" s="107">
        <f>TARIFAS!AA18*(1+'Ingreso de Datos'!$L$7)</f>
        <v>22096.668382593893</v>
      </c>
      <c r="T19" s="104" t="s">
        <v>259</v>
      </c>
      <c r="U19" s="107">
        <f>TARIFAS!AC18*(1+'Ingreso de Datos'!$L$7)</f>
        <v>38211.622355416519</v>
      </c>
      <c r="V19" s="93" t="s">
        <v>273</v>
      </c>
      <c r="W19" s="107">
        <f>TARIFAS!AE18*(1+'Ingreso de Datos'!$L$7)</f>
        <v>35756.525619081018</v>
      </c>
      <c r="X19" s="93" t="s">
        <v>287</v>
      </c>
      <c r="Y19" s="107">
        <f>TARIFAS!AG18*(1+'Ingreso de Datos'!$L$7)</f>
        <v>31786.210405652299</v>
      </c>
      <c r="Z19" s="93" t="s">
        <v>301</v>
      </c>
      <c r="AA19" s="107">
        <f>TARIFAS!AI18*(1+'Ingreso de Datos'!$L$7)</f>
        <v>22670.069239546312</v>
      </c>
      <c r="AB19" s="93" t="s">
        <v>315</v>
      </c>
      <c r="AC19" s="107">
        <f>TARIFAS!AK18*(1+'Ingreso de Datos'!$L$7)</f>
        <v>13654.442899759586</v>
      </c>
    </row>
    <row r="20" spans="3:29">
      <c r="C20" s="40">
        <f>TARIFAS!$J$27</f>
        <v>3098</v>
      </c>
      <c r="D20" s="40">
        <f>TARIFAS!$J$27</f>
        <v>3098</v>
      </c>
      <c r="E20" s="40">
        <f>TARIFAS!$J$27</f>
        <v>3098</v>
      </c>
      <c r="F20" s="40">
        <f>TARIFAS!$J$27</f>
        <v>3098</v>
      </c>
      <c r="G20" s="40">
        <f>TARIFAS!$J$27</f>
        <v>3098</v>
      </c>
      <c r="H20">
        <f>(G19+G20)*1.05*1.12</f>
        <v>6051.8917275175918</v>
      </c>
      <c r="I20" s="9" t="s">
        <v>20</v>
      </c>
      <c r="J20" s="93" t="s">
        <v>260</v>
      </c>
      <c r="K20" s="92">
        <f>TARIFAS!S19*(1+'Ingreso de Datos'!$L$7)</f>
        <v>77296.228208202534</v>
      </c>
      <c r="L20" s="93" t="s">
        <v>274</v>
      </c>
      <c r="M20" s="107">
        <f>TARIFAS!U19*(1+'Ingreso de Datos'!$L$7)</f>
        <v>72329.945545825496</v>
      </c>
      <c r="N20" s="93" t="s">
        <v>288</v>
      </c>
      <c r="O20" s="107">
        <f>TARIFAS!W19*(1+'Ingreso de Datos'!$L$7)</f>
        <v>64298.609217280922</v>
      </c>
      <c r="P20" s="93" t="s">
        <v>302</v>
      </c>
      <c r="Q20" s="107">
        <f>TARIFAS!Y19*(1+'Ingreso de Datos'!$L$7)</f>
        <v>45858.059339564592</v>
      </c>
      <c r="R20" s="93" t="s">
        <v>316</v>
      </c>
      <c r="S20" s="107">
        <f>TARIFAS!AA19*(1+'Ingreso de Datos'!$L$7)</f>
        <v>27620.835478242363</v>
      </c>
      <c r="T20" s="104" t="s">
        <v>260</v>
      </c>
      <c r="U20" s="107">
        <f>TARIFAS!AC19*(1+'Ingreso de Datos'!$L$7)</f>
        <v>47764.527944270652</v>
      </c>
      <c r="V20" s="93" t="s">
        <v>274</v>
      </c>
      <c r="W20" s="107">
        <f>TARIFAS!AE19*(1+'Ingreso de Datos'!$L$7)</f>
        <v>44695.657023851272</v>
      </c>
      <c r="X20" s="93" t="s">
        <v>288</v>
      </c>
      <c r="Y20" s="107">
        <f>TARIFAS!AG19*(1+'Ingreso de Datos'!$L$7)</f>
        <v>39732.763007065376</v>
      </c>
      <c r="Z20" s="93" t="s">
        <v>302</v>
      </c>
      <c r="AA20" s="107">
        <f>TARIFAS!AI19*(1+'Ingreso de Datos'!$L$7)</f>
        <v>28337.586549432883</v>
      </c>
      <c r="AB20" s="93" t="s">
        <v>316</v>
      </c>
      <c r="AC20" s="107">
        <f>TARIFAS!AK19*(1+'Ingreso de Datos'!$L$7)</f>
        <v>17068.053624699485</v>
      </c>
    </row>
    <row r="21" spans="3:29">
      <c r="C21" s="4">
        <v>10000</v>
      </c>
      <c r="D21" s="4">
        <v>15000</v>
      </c>
      <c r="E21" s="4">
        <v>20000</v>
      </c>
      <c r="F21" s="4">
        <v>30000</v>
      </c>
      <c r="G21" s="4">
        <v>45000</v>
      </c>
      <c r="I21" s="94"/>
      <c r="J21" s="17" t="s">
        <v>332</v>
      </c>
      <c r="K21" s="95"/>
      <c r="L21" s="17" t="s">
        <v>333</v>
      </c>
      <c r="M21" s="94"/>
      <c r="N21" s="17" t="s">
        <v>334</v>
      </c>
      <c r="O21" s="94"/>
      <c r="P21" s="17" t="s">
        <v>335</v>
      </c>
      <c r="Q21" s="94"/>
      <c r="R21" s="17" t="s">
        <v>336</v>
      </c>
      <c r="S21" s="2"/>
      <c r="T21" s="105"/>
      <c r="U21" s="29"/>
      <c r="V21" s="29"/>
      <c r="W21" s="29"/>
      <c r="X21" s="29"/>
      <c r="Y21" s="29"/>
      <c r="Z21" s="29"/>
      <c r="AA21" s="29"/>
      <c r="AB21" s="29"/>
      <c r="AC21" s="29"/>
    </row>
    <row r="22" spans="3:29">
      <c r="C22" s="100" t="str">
        <f>CONCATENATE('Ingreso de Datos'!$E$13,'calculos 2'!$C$3)</f>
        <v>1910000</v>
      </c>
      <c r="D22" s="100" t="str">
        <f>CONCATENATE('Ingreso de Datos'!$E$13,'calculos 2'!$D$3)</f>
        <v>1915000</v>
      </c>
      <c r="E22" s="100" t="str">
        <f>CONCATENATE('Ingreso de Datos'!$E$13,'calculos 2'!$E$3)</f>
        <v>1920000</v>
      </c>
      <c r="F22" s="100" t="str">
        <f>CONCATENATE('Ingreso de Datos'!$E$13,'calculos 2'!$F$3)</f>
        <v>1930000</v>
      </c>
      <c r="G22" s="100" t="str">
        <f>CONCATENATE('Ingreso de Datos'!$E$13,'calculos 2'!$G$3)</f>
        <v>1945000</v>
      </c>
      <c r="I22" s="6" t="s">
        <v>3</v>
      </c>
      <c r="J22" s="93" t="s">
        <v>317</v>
      </c>
      <c r="K22" s="92">
        <f>TARIFAS!S21*(1+'Ingreso de Datos'!$L$7)</f>
        <v>2044.49</v>
      </c>
      <c r="L22" s="93" t="s">
        <v>318</v>
      </c>
      <c r="M22" s="92">
        <f>TARIFAS!U21*(1+'Ingreso de Datos'!$L$7)</f>
        <v>1913.13</v>
      </c>
      <c r="N22" s="93" t="s">
        <v>319</v>
      </c>
      <c r="O22" s="92">
        <f>TARIFAS!W21*(1+'Ingreso de Datos'!$L$7)</f>
        <v>1700.7</v>
      </c>
      <c r="P22" s="93" t="s">
        <v>320</v>
      </c>
      <c r="Q22" s="92">
        <f>TARIFAS!Y21*(1+'Ingreso de Datos'!$L$7)</f>
        <v>1212.95</v>
      </c>
      <c r="R22" s="93" t="s">
        <v>321</v>
      </c>
      <c r="S22" s="92">
        <f>TARIFAS!AA21*(1+'Ingreso de Datos'!$L$7)</f>
        <v>730.57</v>
      </c>
      <c r="T22" s="104" t="s">
        <v>317</v>
      </c>
      <c r="U22" s="92">
        <f>TARIFAS!AC21*(1+'Ingreso de Datos'!$L$7)</f>
        <v>1263.3699999999999</v>
      </c>
      <c r="V22" s="93" t="s">
        <v>318</v>
      </c>
      <c r="W22" s="92">
        <f>TARIFAS!AE21*(1+'Ingreso de Datos'!$L$7)</f>
        <v>1182.2</v>
      </c>
      <c r="X22" s="93" t="s">
        <v>319</v>
      </c>
      <c r="Y22" s="92">
        <f>TARIFAS!AG21*(1+'Ingreso de Datos'!$L$7)</f>
        <v>1050.93</v>
      </c>
      <c r="Z22" s="93" t="s">
        <v>320</v>
      </c>
      <c r="AA22" s="92">
        <f>TARIFAS!AI21*(1+'Ingreso de Datos'!$L$7)</f>
        <v>749.53</v>
      </c>
      <c r="AB22" s="93" t="s">
        <v>321</v>
      </c>
      <c r="AC22" s="92">
        <f>TARIFAS!AK21*(1+'Ingreso de Datos'!$L$7)</f>
        <v>451.45</v>
      </c>
    </row>
    <row r="23" spans="3:29">
      <c r="C23">
        <f>IF('Ingreso de Datos'!C13&gt;0,VLOOKUP($C$8,'calculos 2'!$T$7:$U$20,2,),0)</f>
        <v>0</v>
      </c>
      <c r="D23">
        <f>IF('Ingreso de Datos'!C13&gt;0,VLOOKUP($D$8,'calculos 2'!$V$7:$W$20,2,),0)</f>
        <v>0</v>
      </c>
      <c r="E23">
        <f>IF('Ingreso de Datos'!C13&gt;0,VLOOKUP($E$8,'calculos 2'!$X$7:$Y$20,2,),0)</f>
        <v>0</v>
      </c>
      <c r="F23">
        <f>IF('Ingreso de Datos'!C13&gt;0,VLOOKUP($F$8,'calculos 2'!$Z$7:$AA$20,2,),0)</f>
        <v>0</v>
      </c>
      <c r="G23">
        <f>IF('Ingreso de Datos'!C13&gt;0,VLOOKUP($G$8,'calculos 2'!$AB$7:$AC$20,2,),0)</f>
        <v>0</v>
      </c>
      <c r="H23">
        <f>G23*1.05*1.12</f>
        <v>0</v>
      </c>
      <c r="I23" s="9" t="s">
        <v>5</v>
      </c>
      <c r="J23" s="93" t="s">
        <v>322</v>
      </c>
      <c r="K23" s="92">
        <f>TARIFAS!S22*(1+'Ingreso de Datos'!$L$7)</f>
        <v>4088.9700000000003</v>
      </c>
      <c r="L23" s="93" t="s">
        <v>323</v>
      </c>
      <c r="M23" s="92">
        <f>TARIFAS!U22*(1+'Ingreso de Datos'!$L$7)</f>
        <v>3826.2499999999991</v>
      </c>
      <c r="N23" s="93" t="s">
        <v>324</v>
      </c>
      <c r="O23" s="92">
        <f>TARIFAS!W22*(1+'Ingreso de Datos'!$L$7)</f>
        <v>3401.4</v>
      </c>
      <c r="P23" s="93" t="s">
        <v>325</v>
      </c>
      <c r="Q23" s="92">
        <f>TARIFAS!Y22*(1+'Ingreso de Datos'!$L$7)</f>
        <v>2425.89</v>
      </c>
      <c r="R23" s="93" t="s">
        <v>326</v>
      </c>
      <c r="S23" s="92">
        <f>TARIFAS!AA22*(1+'Ingreso de Datos'!$L$7)</f>
        <v>1461.14</v>
      </c>
      <c r="T23" s="104" t="s">
        <v>322</v>
      </c>
      <c r="U23" s="92">
        <f>TARIFAS!AC22*(1+'Ingreso de Datos'!$L$7)</f>
        <v>2526.7399999999998</v>
      </c>
      <c r="V23" s="93" t="s">
        <v>323</v>
      </c>
      <c r="W23" s="92">
        <f>TARIFAS!AE22*(1+'Ingreso de Datos'!$L$7)</f>
        <v>2364.4</v>
      </c>
      <c r="X23" s="93" t="s">
        <v>324</v>
      </c>
      <c r="Y23" s="92">
        <f>TARIFAS!AG22*(1+'Ingreso de Datos'!$L$7)</f>
        <v>2101.86</v>
      </c>
      <c r="Z23" s="93" t="s">
        <v>325</v>
      </c>
      <c r="AA23" s="92">
        <f>TARIFAS!AI22*(1+'Ingreso de Datos'!$L$7)</f>
        <v>1499.06</v>
      </c>
      <c r="AB23" s="93" t="s">
        <v>326</v>
      </c>
      <c r="AC23" s="92">
        <f>TARIFAS!AK22*(1+'Ingreso de Datos'!$L$7)</f>
        <v>902.9</v>
      </c>
    </row>
    <row r="24" spans="3:29">
      <c r="I24" s="9" t="s">
        <v>8</v>
      </c>
      <c r="J24" s="93" t="s">
        <v>327</v>
      </c>
      <c r="K24" s="92">
        <f>TARIFAS!S23*(1+'Ingreso de Datos'!$L$7)</f>
        <v>7200.14</v>
      </c>
      <c r="L24" s="93" t="s">
        <v>328</v>
      </c>
      <c r="M24" s="92">
        <f>TARIFAS!U23*(1+'Ingreso de Datos'!$L$7)</f>
        <v>6737.53</v>
      </c>
      <c r="N24" s="93" t="s">
        <v>329</v>
      </c>
      <c r="O24" s="92">
        <f>TARIFAS!W23*(1+'Ingreso de Datos'!$L$7)</f>
        <v>5989.42</v>
      </c>
      <c r="P24" s="93" t="s">
        <v>330</v>
      </c>
      <c r="Q24" s="92">
        <f>TARIFAS!Y23*(1+'Ingreso de Datos'!$L$7)</f>
        <v>4271.6799999999994</v>
      </c>
      <c r="R24" s="93" t="s">
        <v>331</v>
      </c>
      <c r="S24" s="92">
        <f>TARIFAS!AA23*(1+'Ingreso de Datos'!$L$7)</f>
        <v>2572.88</v>
      </c>
      <c r="T24" s="104" t="s">
        <v>327</v>
      </c>
      <c r="U24" s="92">
        <f>TARIFAS!AC23*(1+'Ingreso de Datos'!$L$7)</f>
        <v>4449.2700000000004</v>
      </c>
      <c r="V24" s="93" t="s">
        <v>328</v>
      </c>
      <c r="W24" s="92">
        <f>TARIFAS!AE23*(1+'Ingreso de Datos'!$L$7)</f>
        <v>4163.3999999999996</v>
      </c>
      <c r="X24" s="93" t="s">
        <v>329</v>
      </c>
      <c r="Y24" s="92">
        <f>TARIFAS!AG23*(1+'Ingreso de Datos'!$L$7)</f>
        <v>3701.1100000000006</v>
      </c>
      <c r="Z24" s="93" t="s">
        <v>330</v>
      </c>
      <c r="AA24" s="92">
        <f>TARIFAS!AI23*(1+'Ingreso de Datos'!$L$7)</f>
        <v>2639.65</v>
      </c>
      <c r="AB24" s="93" t="s">
        <v>331</v>
      </c>
      <c r="AC24" s="92">
        <f>TARIFAS!AK23*(1+'Ingreso de Datos'!$L$7)</f>
        <v>1589.89</v>
      </c>
    </row>
    <row r="25" spans="3:29">
      <c r="C25" s="4">
        <v>10000</v>
      </c>
      <c r="D25" s="4">
        <v>15000</v>
      </c>
      <c r="E25" s="4">
        <v>20000</v>
      </c>
      <c r="F25" s="4">
        <v>30000</v>
      </c>
      <c r="G25" s="4">
        <v>45000</v>
      </c>
    </row>
    <row r="26" spans="3:29">
      <c r="C26" s="100" t="str">
        <f>CONCATENATE('Ingreso de Datos'!$C$15,'calculos 2'!C25)</f>
        <v>Sin Hijos10000</v>
      </c>
      <c r="D26" s="100" t="str">
        <f>CONCATENATE('Ingreso de Datos'!$C$15,'calculos 2'!D25)</f>
        <v>Sin Hijos15000</v>
      </c>
      <c r="E26" s="100" t="str">
        <f>CONCATENATE('Ingreso de Datos'!$C$15,'calculos 2'!E25)</f>
        <v>Sin Hijos20000</v>
      </c>
      <c r="F26" s="100" t="str">
        <f>CONCATENATE('Ingreso de Datos'!$C$15,'calculos 2'!F25)</f>
        <v>Sin Hijos30000</v>
      </c>
      <c r="G26" s="100" t="str">
        <f>CONCATENATE('Ingreso de Datos'!$C$15,'calculos 2'!G25)</f>
        <v>Sin Hijos45000</v>
      </c>
    </row>
    <row r="27" spans="3:29">
      <c r="C27">
        <f>IFERROR(VLOOKUP($C$26,'calculos 2'!$T$22:$U$24,2,),0)</f>
        <v>0</v>
      </c>
      <c r="D27">
        <f>IFERROR(VLOOKUP($D$26,'calculos 2'!$V$22:$W$24,2,),0)</f>
        <v>0</v>
      </c>
      <c r="E27">
        <f>IFERROR(VLOOKUP($E$26,'calculos 2'!$X$22:$Y$24,2,),0)</f>
        <v>0</v>
      </c>
      <c r="F27">
        <f>IFERROR(VLOOKUP($F$26,'calculos 2'!$Z$22:$AA$24,2,),0)</f>
        <v>0</v>
      </c>
      <c r="G27">
        <f>IFERROR(VLOOKUP($G$26,'calculos 2'!$AB$22:$AC$24,2,),0)</f>
        <v>0</v>
      </c>
      <c r="H27">
        <f>G27*1.05*1.12</f>
        <v>0</v>
      </c>
    </row>
    <row r="28" spans="3:29">
      <c r="H28">
        <f>H20+H23+H27</f>
        <v>6051.8917275175918</v>
      </c>
    </row>
    <row r="29" spans="3:29">
      <c r="C29">
        <f>IF('Ingreso de Datos'!$C$21="SI",'calculos 2'!C20+C19+C23+C27,C19+C23+C27)</f>
        <v>5731.7433533124786</v>
      </c>
      <c r="D29">
        <f>IF('Ingreso de Datos'!$C$21="SI",'calculos 2'!D20+D19+D23+D27,D19+D23+D27)</f>
        <v>5363.4788428621514</v>
      </c>
      <c r="E29">
        <f>IF('Ingreso de Datos'!$C$21="SI",'calculos 2'!E20+E19+E23+E27,E19+E23+E27)</f>
        <v>4767.9315608478455</v>
      </c>
      <c r="F29">
        <f>IF('Ingreso de Datos'!$C$21="SI",'calculos 2'!F20+F19+F23+F27,F19+F23+F27)</f>
        <v>3400.5103859319456</v>
      </c>
      <c r="G29">
        <f>IF('Ingreso de Datos'!$C$21="SI",'calculos 2'!G20+G19+G23+G27,G19+G23+G27)</f>
        <v>2048.1664349639382</v>
      </c>
    </row>
    <row r="30" spans="3:29">
      <c r="I30" s="6" t="s">
        <v>0</v>
      </c>
      <c r="J30" s="13">
        <v>0.02</v>
      </c>
    </row>
    <row r="31" spans="3:29">
      <c r="C31" s="4">
        <v>10000</v>
      </c>
      <c r="D31">
        <f>IF('Ingreso de Datos'!$C$17="Plan I",C15,'calculos 2'!C29)</f>
        <v>9275.547384984302</v>
      </c>
      <c r="E31">
        <f>D31*1.05*1.12</f>
        <v>10908.043724741541</v>
      </c>
      <c r="F31">
        <f>(E31*1.02)/2</f>
        <v>5563.1022996181864</v>
      </c>
      <c r="G31">
        <f>(E31*1.04)/4</f>
        <v>2836.0913684328007</v>
      </c>
      <c r="H31">
        <f>(E31*1.08)/12</f>
        <v>981.72393522673883</v>
      </c>
      <c r="I31" s="9" t="s">
        <v>4</v>
      </c>
      <c r="J31" s="13">
        <v>0.04</v>
      </c>
    </row>
    <row r="32" spans="3:29">
      <c r="C32" s="4">
        <v>15000</v>
      </c>
      <c r="D32">
        <f>IF('Ingreso de Datos'!$C$17="Plan I",D15,'calculos 2'!D29)</f>
        <v>8679.5934654990579</v>
      </c>
      <c r="E32">
        <f t="shared" ref="E32:E35" si="0">D32*1.05*1.12</f>
        <v>10207.201915426893</v>
      </c>
      <c r="F32">
        <f t="shared" ref="F32:F35" si="1">(E32*1.02)/2</f>
        <v>5205.6729768677151</v>
      </c>
      <c r="G32">
        <f t="shared" ref="G32:G35" si="2">(E32*1.04)/4</f>
        <v>2653.8724980109923</v>
      </c>
      <c r="H32">
        <f t="shared" ref="H32:H35" si="3">(E32*1.08)/12</f>
        <v>918.64817238842045</v>
      </c>
      <c r="I32" s="9" t="s">
        <v>6</v>
      </c>
      <c r="J32" s="13">
        <v>0.08</v>
      </c>
    </row>
    <row r="33" spans="3:9">
      <c r="C33" s="4">
        <v>20000</v>
      </c>
      <c r="D33">
        <f>IF('Ingreso de Datos'!$C$17="Plan I",E15,'calculos 2'!E29)</f>
        <v>7715.83310607371</v>
      </c>
      <c r="E33">
        <f t="shared" si="0"/>
        <v>9073.8197327426842</v>
      </c>
      <c r="F33">
        <f t="shared" si="1"/>
        <v>4627.648063698769</v>
      </c>
      <c r="G33">
        <f t="shared" si="2"/>
        <v>2359.1931305130979</v>
      </c>
      <c r="H33">
        <f t="shared" si="3"/>
        <v>816.64377594684163</v>
      </c>
    </row>
    <row r="34" spans="3:9">
      <c r="C34" s="4">
        <v>30000</v>
      </c>
      <c r="D34">
        <f>IF('Ingreso de Datos'!$C$17="Plan I",F15,'calculos 2'!F29)</f>
        <v>5502.9671207477495</v>
      </c>
      <c r="E34">
        <f t="shared" si="0"/>
        <v>6471.489333999355</v>
      </c>
      <c r="F34">
        <f t="shared" si="1"/>
        <v>3300.459560339671</v>
      </c>
      <c r="G34">
        <f t="shared" si="2"/>
        <v>1682.5872268398323</v>
      </c>
      <c r="H34">
        <f t="shared" si="3"/>
        <v>582.43404005994205</v>
      </c>
    </row>
    <row r="35" spans="3:9">
      <c r="C35" s="4">
        <v>45000</v>
      </c>
      <c r="D35">
        <f>IF('Ingreso de Datos'!$C$17="Plan I",G15,'calculos 2'!G29)</f>
        <v>3314.500257389082</v>
      </c>
      <c r="E35">
        <f t="shared" si="0"/>
        <v>3897.8523026895609</v>
      </c>
      <c r="F35">
        <f t="shared" si="1"/>
        <v>1987.904674371676</v>
      </c>
      <c r="G35">
        <f t="shared" si="2"/>
        <v>1013.4415986992859</v>
      </c>
      <c r="H35">
        <f t="shared" si="3"/>
        <v>350.80670724206055</v>
      </c>
    </row>
    <row r="38" spans="3:9">
      <c r="C38" s="4">
        <v>10000</v>
      </c>
      <c r="D38" s="40">
        <f>C5</f>
        <v>9275.547384984302</v>
      </c>
      <c r="E38">
        <f>+IF('Ingreso de Datos'!$C$21="SI",(($C$6+D38)*1.05*1.12),(D38*1.06*1.12))</f>
        <v>11011.929855453365</v>
      </c>
      <c r="G38" s="4">
        <v>10000</v>
      </c>
      <c r="H38">
        <f>C19</f>
        <v>5731.7433533124786</v>
      </c>
      <c r="I38">
        <f>+IF('Ingreso de Datos'!$C$21="SI",(H38+$C$20)*1.05*1.12,H38*1.05*1.12)</f>
        <v>6740.5301834954762</v>
      </c>
    </row>
    <row r="39" spans="3:9">
      <c r="C39" s="4">
        <v>15000</v>
      </c>
      <c r="D39">
        <f>D5</f>
        <v>8679.5934654990579</v>
      </c>
      <c r="E39">
        <f>+IF('Ingreso de Datos'!$C$21="SI",(($C$6+D39)*1.05*1.12),(D39*1.06*1.12))</f>
        <v>10304.413362240482</v>
      </c>
      <c r="G39" s="4">
        <v>15000</v>
      </c>
      <c r="H39">
        <f>D19</f>
        <v>5363.4788428621514</v>
      </c>
      <c r="I39">
        <f>+IF('Ingreso de Datos'!$C$21="SI",(H39+$C$20)*1.05*1.12,H39*1.05*1.12)</f>
        <v>6307.4511192058908</v>
      </c>
    </row>
    <row r="40" spans="3:9">
      <c r="C40" s="4">
        <v>20000</v>
      </c>
      <c r="D40">
        <f>E5</f>
        <v>7715.83310607371</v>
      </c>
      <c r="E40">
        <f>+IF('Ingreso de Datos'!$C$21="SI",(($C$6+D40)*1.05*1.12),(D40*1.06*1.12))</f>
        <v>9160.2370635307107</v>
      </c>
      <c r="G40" s="4">
        <v>20000</v>
      </c>
      <c r="H40">
        <f>E19</f>
        <v>4767.9315608478455</v>
      </c>
      <c r="I40">
        <f>+IF('Ingreso de Datos'!$C$21="SI",(H40+$C$20)*1.05*1.12,H40*1.05*1.12)</f>
        <v>5607.0875155570666</v>
      </c>
    </row>
    <row r="41" spans="3:9">
      <c r="C41" s="4">
        <v>30000</v>
      </c>
      <c r="D41">
        <f>F5</f>
        <v>5502.9671207477495</v>
      </c>
      <c r="E41">
        <f>+IF('Ingreso de Datos'!$C$21="SI",(($C$6+D41)*1.05*1.12),(D41*1.06*1.12))</f>
        <v>6533.1225657517289</v>
      </c>
      <c r="G41" s="4">
        <v>30000</v>
      </c>
      <c r="H41">
        <f>F19</f>
        <v>3400.5103859319456</v>
      </c>
      <c r="I41">
        <f>+IF('Ingreso de Datos'!$C$21="SI",(H41+$C$20)*1.05*1.12,H41*1.05*1.12)</f>
        <v>3999.0002138559685</v>
      </c>
    </row>
    <row r="42" spans="3:9">
      <c r="C42" s="4">
        <v>45000</v>
      </c>
      <c r="D42">
        <f>G5</f>
        <v>3314.500257389082</v>
      </c>
      <c r="E42">
        <f>+IF('Ingreso de Datos'!$C$21="SI",(($C$6+D42)*1.05*1.12),(D42*1.06*1.12))</f>
        <v>3934.9747055723187</v>
      </c>
      <c r="G42" s="4">
        <v>45000</v>
      </c>
      <c r="H42">
        <f>G19</f>
        <v>2048.1664349639382</v>
      </c>
      <c r="I42">
        <f>+IF('Ingreso de Datos'!$C$21="SI",(H42+$C$20)*1.05*1.12,H42*1.05*1.12)</f>
        <v>2408.6437275175917</v>
      </c>
    </row>
    <row r="44" spans="3:9">
      <c r="C44" s="4">
        <v>10000</v>
      </c>
      <c r="D44">
        <f>C9</f>
        <v>0</v>
      </c>
      <c r="E44">
        <f>D44*1.05*1.12</f>
        <v>0</v>
      </c>
      <c r="G44" s="4">
        <v>10000</v>
      </c>
      <c r="H44">
        <f>C23</f>
        <v>0</v>
      </c>
      <c r="I44">
        <f>H44*1.05*1.12</f>
        <v>0</v>
      </c>
    </row>
    <row r="45" spans="3:9">
      <c r="C45" s="4">
        <v>15000</v>
      </c>
      <c r="D45">
        <f>D9</f>
        <v>0</v>
      </c>
      <c r="E45">
        <f t="shared" ref="E45:E48" si="4">D45*1.05*1.12</f>
        <v>0</v>
      </c>
      <c r="G45" s="4">
        <v>15000</v>
      </c>
      <c r="H45">
        <f>D23</f>
        <v>0</v>
      </c>
      <c r="I45">
        <f t="shared" ref="I45:I48" si="5">H45*1.05*1.12</f>
        <v>0</v>
      </c>
    </row>
    <row r="46" spans="3:9">
      <c r="C46" s="4">
        <v>20000</v>
      </c>
      <c r="D46">
        <f>E9</f>
        <v>0</v>
      </c>
      <c r="E46">
        <f t="shared" si="4"/>
        <v>0</v>
      </c>
      <c r="G46" s="4">
        <v>20000</v>
      </c>
      <c r="H46">
        <f>E23</f>
        <v>0</v>
      </c>
      <c r="I46">
        <f t="shared" si="5"/>
        <v>0</v>
      </c>
    </row>
    <row r="47" spans="3:9">
      <c r="C47" s="4">
        <v>30000</v>
      </c>
      <c r="D47">
        <f>F9</f>
        <v>0</v>
      </c>
      <c r="E47">
        <f t="shared" si="4"/>
        <v>0</v>
      </c>
      <c r="G47" s="4">
        <v>30000</v>
      </c>
      <c r="H47">
        <f>F23</f>
        <v>0</v>
      </c>
      <c r="I47">
        <f t="shared" si="5"/>
        <v>0</v>
      </c>
    </row>
    <row r="48" spans="3:9">
      <c r="C48" s="4">
        <v>45000</v>
      </c>
      <c r="D48">
        <f>G9</f>
        <v>0</v>
      </c>
      <c r="E48">
        <f t="shared" si="4"/>
        <v>0</v>
      </c>
      <c r="G48" s="4">
        <v>45000</v>
      </c>
      <c r="H48">
        <f>G23</f>
        <v>0</v>
      </c>
      <c r="I48">
        <f t="shared" si="5"/>
        <v>0</v>
      </c>
    </row>
    <row r="50" spans="3:9">
      <c r="C50" s="4">
        <v>10000</v>
      </c>
      <c r="D50">
        <f>C13</f>
        <v>0</v>
      </c>
      <c r="E50">
        <f>D50*1.05*1.12</f>
        <v>0</v>
      </c>
      <c r="G50" s="4">
        <v>10000</v>
      </c>
      <c r="H50">
        <f>C27</f>
        <v>0</v>
      </c>
      <c r="I50">
        <f>H50*1.05*1.12</f>
        <v>0</v>
      </c>
    </row>
    <row r="51" spans="3:9">
      <c r="C51" s="4">
        <v>15000</v>
      </c>
      <c r="D51">
        <f>D13</f>
        <v>0</v>
      </c>
      <c r="E51">
        <f t="shared" ref="E51:E54" si="6">D51*1.05*1.12</f>
        <v>0</v>
      </c>
      <c r="G51" s="4">
        <v>15000</v>
      </c>
      <c r="H51">
        <f>D27</f>
        <v>0</v>
      </c>
      <c r="I51">
        <f t="shared" ref="I51:I54" si="7">H51*1.05*1.12</f>
        <v>0</v>
      </c>
    </row>
    <row r="52" spans="3:9">
      <c r="C52" s="4">
        <v>20000</v>
      </c>
      <c r="D52">
        <f>E13</f>
        <v>0</v>
      </c>
      <c r="E52">
        <f t="shared" si="6"/>
        <v>0</v>
      </c>
      <c r="G52" s="4">
        <v>20000</v>
      </c>
      <c r="H52">
        <f>E27</f>
        <v>0</v>
      </c>
      <c r="I52">
        <f t="shared" si="7"/>
        <v>0</v>
      </c>
    </row>
    <row r="53" spans="3:9">
      <c r="C53" s="4">
        <v>30000</v>
      </c>
      <c r="D53">
        <f>F13</f>
        <v>0</v>
      </c>
      <c r="E53">
        <f t="shared" si="6"/>
        <v>0</v>
      </c>
      <c r="G53" s="4">
        <v>30000</v>
      </c>
      <c r="H53">
        <f>F27</f>
        <v>0</v>
      </c>
      <c r="I53">
        <f t="shared" si="7"/>
        <v>0</v>
      </c>
    </row>
    <row r="54" spans="3:9">
      <c r="C54" s="4">
        <v>45000</v>
      </c>
      <c r="D54">
        <f>G13</f>
        <v>0</v>
      </c>
      <c r="E54">
        <f t="shared" si="6"/>
        <v>0</v>
      </c>
      <c r="G54" s="4">
        <v>45000</v>
      </c>
      <c r="H54">
        <f>G27</f>
        <v>0</v>
      </c>
      <c r="I54">
        <f t="shared" si="7"/>
        <v>0</v>
      </c>
    </row>
  </sheetData>
  <sheetProtection algorithmName="SHA-512" hashValue="3FKSnt+qldu7dOHnJNs4TJUrEuXQ+L1JSAE+/2+texJgaZ1JCIwSBy67iSiCVm3ixYc917Sg9iQ3vf+Ht3WWGQ==" saltValue="k8CRSMB9Pg4H3ujhfAFpbw==" spinCount="100000" sheet="1" objects="1" scenarios="1"/>
  <mergeCells count="2">
    <mergeCell ref="C2:G2"/>
    <mergeCell ref="C16:G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9"/>
  <sheetViews>
    <sheetView topLeftCell="A52" zoomScale="70" zoomScaleNormal="70" workbookViewId="0">
      <selection activeCell="A68" sqref="A68"/>
    </sheetView>
  </sheetViews>
  <sheetFormatPr baseColWidth="10" defaultColWidth="54.26953125" defaultRowHeight="14"/>
  <cols>
    <col min="1" max="1" width="5.7265625" style="65" customWidth="1"/>
    <col min="2" max="2" width="73.1796875" style="65" customWidth="1"/>
    <col min="3" max="4" width="42.1796875" style="66" customWidth="1"/>
    <col min="5" max="16384" width="54.26953125" style="65"/>
  </cols>
  <sheetData>
    <row r="1" spans="2:4" ht="102" customHeight="1"/>
    <row r="2" spans="2:4" ht="20">
      <c r="C2" s="67"/>
      <c r="D2" s="68"/>
    </row>
    <row r="3" spans="2:4" ht="20">
      <c r="B3" s="278" t="s">
        <v>184</v>
      </c>
      <c r="C3" s="278"/>
      <c r="D3" s="278"/>
    </row>
    <row r="4" spans="2:4" ht="15.5">
      <c r="B4" s="279" t="s">
        <v>185</v>
      </c>
      <c r="C4" s="279"/>
      <c r="D4" s="279"/>
    </row>
    <row r="5" spans="2:4" ht="20">
      <c r="B5" s="69"/>
      <c r="C5" s="67" t="s">
        <v>29</v>
      </c>
      <c r="D5" s="67" t="s">
        <v>30</v>
      </c>
    </row>
    <row r="6" spans="2:4">
      <c r="B6" s="70" t="s">
        <v>186</v>
      </c>
      <c r="C6" s="71" t="s">
        <v>187</v>
      </c>
      <c r="D6" s="71" t="s">
        <v>187</v>
      </c>
    </row>
    <row r="7" spans="2:4">
      <c r="B7" s="72" t="s">
        <v>239</v>
      </c>
      <c r="C7" s="73">
        <v>6000000</v>
      </c>
      <c r="D7" s="73">
        <v>3000000</v>
      </c>
    </row>
    <row r="8" spans="2:4">
      <c r="B8" s="74" t="s">
        <v>110</v>
      </c>
      <c r="C8" s="75">
        <v>1</v>
      </c>
      <c r="D8" s="75">
        <v>1</v>
      </c>
    </row>
    <row r="9" spans="2:4" ht="70">
      <c r="B9" s="76" t="s">
        <v>111</v>
      </c>
      <c r="C9" s="77" t="s">
        <v>112</v>
      </c>
      <c r="D9" s="77" t="s">
        <v>112</v>
      </c>
    </row>
    <row r="10" spans="2:4">
      <c r="B10" s="74" t="s">
        <v>188</v>
      </c>
      <c r="C10" s="78" t="s">
        <v>107</v>
      </c>
      <c r="D10" s="78" t="s">
        <v>107</v>
      </c>
    </row>
    <row r="11" spans="2:4">
      <c r="B11" s="79" t="s">
        <v>189</v>
      </c>
      <c r="C11" s="78" t="s">
        <v>190</v>
      </c>
      <c r="D11" s="78" t="s">
        <v>190</v>
      </c>
    </row>
    <row r="12" spans="2:4" ht="70">
      <c r="B12" s="74" t="s">
        <v>191</v>
      </c>
      <c r="C12" s="78" t="s">
        <v>118</v>
      </c>
      <c r="D12" s="78" t="s">
        <v>118</v>
      </c>
    </row>
    <row r="13" spans="2:4">
      <c r="B13" s="74" t="s">
        <v>113</v>
      </c>
      <c r="C13" s="78" t="s">
        <v>114</v>
      </c>
      <c r="D13" s="78" t="s">
        <v>114</v>
      </c>
    </row>
    <row r="14" spans="2:4" ht="28">
      <c r="B14" s="79" t="s">
        <v>115</v>
      </c>
      <c r="C14" s="78" t="s">
        <v>114</v>
      </c>
      <c r="D14" s="78" t="s">
        <v>114</v>
      </c>
    </row>
    <row r="15" spans="2:4" ht="28">
      <c r="B15" s="79" t="s">
        <v>116</v>
      </c>
      <c r="C15" s="78" t="s">
        <v>114</v>
      </c>
      <c r="D15" s="78" t="s">
        <v>114</v>
      </c>
    </row>
    <row r="17" spans="2:4" ht="20">
      <c r="B17" s="280" t="s">
        <v>192</v>
      </c>
      <c r="C17" s="280"/>
      <c r="D17" s="80"/>
    </row>
    <row r="18" spans="2:4">
      <c r="B18" s="81" t="s">
        <v>193</v>
      </c>
      <c r="C18" s="75">
        <v>1</v>
      </c>
      <c r="D18" s="75">
        <v>1</v>
      </c>
    </row>
    <row r="19" spans="2:4">
      <c r="B19" s="82" t="s">
        <v>194</v>
      </c>
      <c r="C19" s="75">
        <v>1</v>
      </c>
      <c r="D19" s="75">
        <v>1</v>
      </c>
    </row>
    <row r="20" spans="2:4">
      <c r="B20" s="82" t="s">
        <v>195</v>
      </c>
      <c r="C20" s="75">
        <v>1</v>
      </c>
      <c r="D20" s="75">
        <v>1</v>
      </c>
    </row>
    <row r="21" spans="2:4">
      <c r="B21" s="82" t="s">
        <v>196</v>
      </c>
      <c r="C21" s="75">
        <v>1</v>
      </c>
      <c r="D21" s="75">
        <v>1</v>
      </c>
    </row>
    <row r="22" spans="2:4" ht="14.5" thickBot="1">
      <c r="B22" s="82" t="s">
        <v>197</v>
      </c>
      <c r="C22" s="75">
        <v>1</v>
      </c>
      <c r="D22" s="75">
        <v>1</v>
      </c>
    </row>
    <row r="23" spans="2:4" ht="14.5" thickBot="1">
      <c r="B23" s="83" t="s">
        <v>198</v>
      </c>
      <c r="C23" s="75"/>
      <c r="D23" s="75"/>
    </row>
    <row r="24" spans="2:4" ht="14.5" thickBot="1">
      <c r="B24" s="84" t="s">
        <v>199</v>
      </c>
      <c r="C24" s="75"/>
      <c r="D24" s="75"/>
    </row>
    <row r="25" spans="2:4" ht="16.5" customHeight="1">
      <c r="B25" s="81" t="s">
        <v>200</v>
      </c>
      <c r="C25" s="77" t="s">
        <v>201</v>
      </c>
      <c r="D25" s="85" t="s">
        <v>202</v>
      </c>
    </row>
    <row r="26" spans="2:4">
      <c r="B26" s="81" t="s">
        <v>203</v>
      </c>
      <c r="C26" s="75">
        <v>1</v>
      </c>
      <c r="D26" s="75">
        <v>1</v>
      </c>
    </row>
    <row r="27" spans="2:4">
      <c r="B27" s="81" t="s">
        <v>204</v>
      </c>
      <c r="C27" s="75">
        <v>1</v>
      </c>
      <c r="D27" s="75">
        <v>1</v>
      </c>
    </row>
    <row r="28" spans="2:4" ht="28">
      <c r="B28" s="81" t="s">
        <v>205</v>
      </c>
      <c r="C28" s="86" t="s">
        <v>127</v>
      </c>
      <c r="D28" s="87">
        <v>1</v>
      </c>
    </row>
    <row r="29" spans="2:4">
      <c r="B29" s="81" t="s">
        <v>206</v>
      </c>
      <c r="C29" s="75">
        <v>1</v>
      </c>
      <c r="D29" s="75">
        <v>1</v>
      </c>
    </row>
    <row r="30" spans="2:4">
      <c r="B30" s="81" t="s">
        <v>207</v>
      </c>
      <c r="C30" s="75">
        <v>1</v>
      </c>
      <c r="D30" s="75">
        <v>1</v>
      </c>
    </row>
    <row r="31" spans="2:4">
      <c r="B31" s="81" t="s">
        <v>208</v>
      </c>
      <c r="C31" s="75">
        <v>1</v>
      </c>
      <c r="D31" s="75">
        <v>1</v>
      </c>
    </row>
    <row r="32" spans="2:4">
      <c r="B32" s="81" t="s">
        <v>209</v>
      </c>
      <c r="C32" s="75">
        <v>1</v>
      </c>
      <c r="D32" s="75">
        <v>1</v>
      </c>
    </row>
    <row r="33" spans="2:4">
      <c r="B33" s="81" t="s">
        <v>210</v>
      </c>
      <c r="C33" s="73">
        <v>2000</v>
      </c>
      <c r="D33" s="73">
        <v>2000</v>
      </c>
    </row>
    <row r="34" spans="2:4">
      <c r="B34" s="81" t="s">
        <v>128</v>
      </c>
      <c r="C34" s="88"/>
      <c r="D34" s="88"/>
    </row>
    <row r="35" spans="2:4">
      <c r="B35" s="81" t="s">
        <v>129</v>
      </c>
      <c r="C35" s="88">
        <v>500000</v>
      </c>
      <c r="D35" s="88">
        <v>250000</v>
      </c>
    </row>
    <row r="36" spans="2:4">
      <c r="B36" s="81" t="s">
        <v>130</v>
      </c>
      <c r="C36" s="88" t="s">
        <v>131</v>
      </c>
      <c r="D36" s="88" t="s">
        <v>131</v>
      </c>
    </row>
    <row r="37" spans="2:4">
      <c r="B37" s="81" t="s">
        <v>122</v>
      </c>
      <c r="C37" s="88">
        <v>500000</v>
      </c>
      <c r="D37" s="89">
        <v>200000</v>
      </c>
    </row>
    <row r="38" spans="2:4">
      <c r="B38" s="81" t="s">
        <v>211</v>
      </c>
      <c r="C38" s="73">
        <v>125000</v>
      </c>
      <c r="D38" s="73">
        <v>50000</v>
      </c>
    </row>
    <row r="39" spans="2:4">
      <c r="B39" s="81" t="s">
        <v>212</v>
      </c>
      <c r="C39" s="75">
        <v>1</v>
      </c>
      <c r="D39" s="75">
        <v>1</v>
      </c>
    </row>
    <row r="40" spans="2:4">
      <c r="B40" s="81" t="s">
        <v>213</v>
      </c>
      <c r="C40" s="75">
        <v>1</v>
      </c>
      <c r="D40" s="75">
        <v>1</v>
      </c>
    </row>
    <row r="41" spans="2:4" ht="28">
      <c r="B41" s="81" t="s">
        <v>214</v>
      </c>
      <c r="C41" s="75">
        <v>1</v>
      </c>
      <c r="D41" s="75">
        <v>1</v>
      </c>
    </row>
    <row r="42" spans="2:4">
      <c r="B42" s="81" t="s">
        <v>84</v>
      </c>
      <c r="C42" s="75">
        <v>1</v>
      </c>
      <c r="D42" s="75">
        <v>1</v>
      </c>
    </row>
    <row r="43" spans="2:4">
      <c r="B43" s="81" t="s">
        <v>215</v>
      </c>
      <c r="C43" s="75">
        <v>1</v>
      </c>
      <c r="D43" s="75">
        <v>1</v>
      </c>
    </row>
    <row r="44" spans="2:4">
      <c r="B44" s="81" t="s">
        <v>216</v>
      </c>
      <c r="C44" s="75">
        <v>1</v>
      </c>
      <c r="D44" s="75">
        <v>1</v>
      </c>
    </row>
    <row r="45" spans="2:4">
      <c r="B45" s="81" t="s">
        <v>87</v>
      </c>
      <c r="C45" s="75">
        <v>1</v>
      </c>
      <c r="D45" s="75">
        <v>1</v>
      </c>
    </row>
    <row r="46" spans="2:4">
      <c r="B46" s="81" t="s">
        <v>217</v>
      </c>
      <c r="C46" s="75">
        <v>1</v>
      </c>
      <c r="D46" s="75">
        <v>1</v>
      </c>
    </row>
    <row r="47" spans="2:4">
      <c r="B47" s="81" t="s">
        <v>218</v>
      </c>
      <c r="C47" s="75">
        <v>1</v>
      </c>
      <c r="D47" s="75">
        <v>1</v>
      </c>
    </row>
    <row r="48" spans="2:4">
      <c r="B48" s="81" t="s">
        <v>90</v>
      </c>
      <c r="C48" s="75">
        <v>1</v>
      </c>
      <c r="D48" s="75">
        <v>1</v>
      </c>
    </row>
    <row r="49" spans="2:4">
      <c r="B49" s="81" t="s">
        <v>91</v>
      </c>
      <c r="C49" s="75">
        <v>1</v>
      </c>
      <c r="D49" s="75">
        <v>1</v>
      </c>
    </row>
    <row r="50" spans="2:4">
      <c r="B50" s="81" t="s">
        <v>92</v>
      </c>
      <c r="C50" s="75">
        <v>1</v>
      </c>
      <c r="D50" s="75">
        <v>1</v>
      </c>
    </row>
    <row r="51" spans="2:4">
      <c r="B51" s="81" t="s">
        <v>125</v>
      </c>
      <c r="C51" s="78" t="s">
        <v>219</v>
      </c>
      <c r="D51" s="78" t="s">
        <v>220</v>
      </c>
    </row>
    <row r="52" spans="2:4">
      <c r="B52" s="81" t="s">
        <v>221</v>
      </c>
      <c r="C52" s="75">
        <v>1</v>
      </c>
      <c r="D52" s="75">
        <v>1</v>
      </c>
    </row>
    <row r="53" spans="2:4">
      <c r="B53" s="81" t="s">
        <v>222</v>
      </c>
      <c r="C53" s="75">
        <v>1</v>
      </c>
      <c r="D53" s="75">
        <v>1</v>
      </c>
    </row>
    <row r="54" spans="2:4">
      <c r="B54" s="81" t="s">
        <v>223</v>
      </c>
      <c r="C54" s="75">
        <v>1</v>
      </c>
      <c r="D54" s="75">
        <v>1</v>
      </c>
    </row>
    <row r="55" spans="2:4">
      <c r="B55" s="81" t="s">
        <v>224</v>
      </c>
      <c r="C55" s="88" t="s">
        <v>225</v>
      </c>
      <c r="D55" s="89" t="s">
        <v>226</v>
      </c>
    </row>
    <row r="56" spans="2:4">
      <c r="B56" s="81" t="s">
        <v>227</v>
      </c>
      <c r="C56" s="78" t="s">
        <v>120</v>
      </c>
      <c r="D56" s="78" t="s">
        <v>228</v>
      </c>
    </row>
    <row r="57" spans="2:4">
      <c r="B57" s="81" t="s">
        <v>229</v>
      </c>
      <c r="C57" s="73">
        <v>100000</v>
      </c>
      <c r="D57" s="73">
        <v>75000</v>
      </c>
    </row>
    <row r="59" spans="2:4">
      <c r="B59" s="281" t="s">
        <v>230</v>
      </c>
      <c r="C59" s="281"/>
      <c r="D59" s="90"/>
    </row>
    <row r="60" spans="2:4">
      <c r="B60" s="74" t="s">
        <v>25</v>
      </c>
      <c r="C60" s="78" t="s">
        <v>120</v>
      </c>
      <c r="D60" s="78" t="s">
        <v>231</v>
      </c>
    </row>
    <row r="61" spans="2:4">
      <c r="B61" s="74" t="s">
        <v>134</v>
      </c>
      <c r="C61" s="73">
        <v>5000</v>
      </c>
      <c r="D61" s="73">
        <v>7500</v>
      </c>
    </row>
    <row r="62" spans="2:4">
      <c r="B62" s="74" t="s">
        <v>232</v>
      </c>
      <c r="C62" s="73">
        <v>10000</v>
      </c>
      <c r="D62" s="73">
        <v>5000</v>
      </c>
    </row>
    <row r="63" spans="2:4">
      <c r="B63" s="91" t="s">
        <v>136</v>
      </c>
      <c r="C63" s="88">
        <v>500000</v>
      </c>
      <c r="D63" s="73">
        <v>250000</v>
      </c>
    </row>
    <row r="64" spans="2:4">
      <c r="B64" s="74" t="s">
        <v>233</v>
      </c>
      <c r="C64" s="73">
        <v>8000</v>
      </c>
      <c r="D64" s="73">
        <v>5000</v>
      </c>
    </row>
    <row r="66" spans="2:4">
      <c r="D66" s="90"/>
    </row>
    <row r="67" spans="2:4">
      <c r="B67" s="281" t="s">
        <v>100</v>
      </c>
      <c r="C67" s="281"/>
      <c r="D67" s="65"/>
    </row>
    <row r="68" spans="2:4" ht="56">
      <c r="B68" s="74" t="s">
        <v>101</v>
      </c>
      <c r="C68" s="78" t="s">
        <v>234</v>
      </c>
      <c r="D68" s="78" t="s">
        <v>235</v>
      </c>
    </row>
    <row r="69" spans="2:4" ht="126">
      <c r="B69" s="74" t="s">
        <v>236</v>
      </c>
      <c r="C69" s="78" t="s">
        <v>237</v>
      </c>
      <c r="D69" s="78" t="s">
        <v>238</v>
      </c>
    </row>
  </sheetData>
  <sheetProtection algorithmName="SHA-512" hashValue="pOX/A8ox+mGORshpwjDIHZaXMKpDhmGuqiMjp/Y4HHHwlOphess1g5zdfhOkBhiFvqPwp93Gj20vrqKyNqfThA==" saltValue="4hLYEm2y+iuXXCFnrzcTug==" spinCount="100000" sheet="1" objects="1" scenarios="1"/>
  <mergeCells count="5">
    <mergeCell ref="B3:D3"/>
    <mergeCell ref="B4:D4"/>
    <mergeCell ref="B17:C17"/>
    <mergeCell ref="B59:C59"/>
    <mergeCell ref="B67:C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Ingreso de Datos</vt:lpstr>
      <vt:lpstr>Cotización</vt:lpstr>
      <vt:lpstr>Comparativo</vt:lpstr>
      <vt:lpstr>TARIFAS</vt:lpstr>
      <vt:lpstr>CALCULOS</vt:lpstr>
      <vt:lpstr>calculos 2</vt:lpstr>
      <vt:lpstr>Plan 1 y 2</vt:lpstr>
      <vt:lpstr>Comparativo!Área_de_impresión</vt:lpstr>
      <vt:lpstr>Cotización!Área_de_impresión</vt:lpstr>
    </vt:vector>
  </TitlesOfParts>
  <Company>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Farfan</dc:creator>
  <cp:lastModifiedBy>Kurt2021</cp:lastModifiedBy>
  <cp:lastPrinted>2022-04-08T22:32:17Z</cp:lastPrinted>
  <dcterms:created xsi:type="dcterms:W3CDTF">2016-10-18T16:06:01Z</dcterms:created>
  <dcterms:modified xsi:type="dcterms:W3CDTF">2022-06-02T14:22:28Z</dcterms:modified>
</cp:coreProperties>
</file>